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2300" tabRatio="782" activeTab="1"/>
  </bookViews>
  <sheets>
    <sheet name="Hohmann" sheetId="1" r:id="rId1"/>
    <sheet name="Patched Conic Interplanetary" sheetId="2" r:id="rId2"/>
    <sheet name="Fast Transfer(Nontang) Cal" sheetId="3" r:id="rId3"/>
    <sheet name="Planetary Data" sheetId="4" r:id="rId4"/>
  </sheets>
  <definedNames>
    <definedName name="ApoHelion" localSheetId="1">'Patched Conic Interplanetary'!$D$34</definedName>
    <definedName name="Azimuth_degrees">#REF!</definedName>
    <definedName name="Delta_V_arrival_km_sec" localSheetId="1">'Patched Conic Interplanetary'!$C$71</definedName>
    <definedName name="Delta_V_arrival_NonCircArrival_km_sec" localSheetId="1">'Patched Conic Interplanetary'!$C$97</definedName>
    <definedName name="DelyaV_departure_km_sec" localSheetId="1">'Patched Conic Interplanetary'!$C$50</definedName>
    <definedName name="Eccentricity_arrival_Noncirc" localSheetId="1">'Patched Conic Interplanetary'!$C$91</definedName>
    <definedName name="Eccentricity_hyperbolic_arrival" localSheetId="1">'Patched Conic Interplanetary'!$C$75</definedName>
    <definedName name="Eccentricity_hyperbolic_depart" localSheetId="1">'Patched Conic Interplanetary'!$C$54</definedName>
    <definedName name="eccentricity_transfer_orbit" localSheetId="1">'Patched Conic Interplanetary'!$C$34</definedName>
    <definedName name="H_altitude_final">'Hohmann'!$B$6</definedName>
    <definedName name="Ha_altitude_km">'Hohmann'!$B$5</definedName>
    <definedName name="Horbit_arrival_km" localSheetId="1">'Patched Conic Interplanetary'!$C$20</definedName>
    <definedName name="Horbit_depart_km" localSheetId="1">'Patched Conic Interplanetary'!$C$12</definedName>
    <definedName name="Hp_altitude_km">'Hohmann'!$B$4</definedName>
    <definedName name="Hyper_anomaly_arrival_radians" localSheetId="1">'Patched Conic Interplanetary'!$C$80</definedName>
    <definedName name="Hyper_anomaly_depart_radians" localSheetId="1">'Patched Conic Interplanetary'!$C$59</definedName>
    <definedName name="Hyper_Mean_motion_Arrival_radians_sec" localSheetId="1">'Patched Conic Interplanetary'!$C$82</definedName>
    <definedName name="HyperTurnAngle_arrival_degrees" localSheetId="1">'Patched Conic Interplanetary'!$C$76</definedName>
    <definedName name="HyperTurnAngle_depart_degrees" localSheetId="1">'Patched Conic Interplanetary'!$C$55</definedName>
    <definedName name="Latitude_degrees">#REF!</definedName>
    <definedName name="M_kg_Earth">'Planetary Data'!$I$11</definedName>
    <definedName name="M_kg_Jup_Callisto">'Planetary Data'!$I$19</definedName>
    <definedName name="M_kg_Jup_Europa">'Planetary Data'!$I$18</definedName>
    <definedName name="M_kg_Jup_Ganymede">'Planetary Data'!$I$20</definedName>
    <definedName name="M_Kg_Jup_Io">'Planetary Data'!$I$17</definedName>
    <definedName name="M_kg_Jupiter">'Planetary Data'!$I$16</definedName>
    <definedName name="M_kg_Mars">'Planetary Data'!$I$13</definedName>
    <definedName name="M_kg_Mercury">'Planetary Data'!$I$9</definedName>
    <definedName name="M_kg_Moon">'Planetary Data'!$I$12</definedName>
    <definedName name="M_kg_Sat_Titan">'Planetary Data'!$I$22</definedName>
    <definedName name="M_kg_Saturn">'Planetary Data'!$I$21</definedName>
    <definedName name="M_kg_Sun">'Planetary Data'!$I$8</definedName>
    <definedName name="M_kg_Venus">'Planetary Data'!$I$10</definedName>
    <definedName name="majoraxis_transfer_orbit_km" localSheetId="1">'Patched Conic Interplanetary'!$C$32</definedName>
    <definedName name="Mass_arrivalPlanet_kg" localSheetId="1">'Patched Conic Interplanetary'!$C$22</definedName>
    <definedName name="Mass_depart_kg" localSheetId="1">'Patched Conic Interplanetary'!$C$14</definedName>
    <definedName name="Mass_planet_kg">#REF!</definedName>
    <definedName name="Mass_SUN_kg" localSheetId="1">'Patched Conic Interplanetary'!$C$5</definedName>
    <definedName name="Mean_anomaly_hyper_arrival_radians" localSheetId="1">'Patched Conic Interplanetary'!$C$81</definedName>
    <definedName name="Mean_anomaly_hyper_depart_radians" localSheetId="1">'Patched Conic Interplanetary'!$C$60</definedName>
    <definedName name="Mean_motion_hyper_depart_radians_sec" localSheetId="1">'Patched Conic Interplanetary'!$C$61</definedName>
    <definedName name="Mu_arrival_km_3_s_2" localSheetId="1">'Patched Conic Interplanetary'!$C$23</definedName>
    <definedName name="MU_calc_ws_km">'Hohmann'!$F$2</definedName>
    <definedName name="MU_calc_ws_meters">'Hohmann'!$F$3</definedName>
    <definedName name="Mu_departure_km_3_s_2" localSheetId="1">'Patched Conic Interplanetary'!$C$15</definedName>
    <definedName name="mu_earth_m3_s2">'Planetary Data'!$J$11</definedName>
    <definedName name="Mu_JupIo_m3_s2">'Planetary Data'!$J$17</definedName>
    <definedName name="mu_jupiter_m3_s2">'Planetary Data'!$J$16</definedName>
    <definedName name="mu_mars_m3_s2">'Planetary Data'!$J$13</definedName>
    <definedName name="mu_merc_m3_s2">'Planetary Data'!$J$9</definedName>
    <definedName name="mu_moon_m3_s2">'Planetary Data'!$J$12</definedName>
    <definedName name="mu_nep_m3_s2">'Planetary Data'!$J$24</definedName>
    <definedName name="Mu_Planet_FT_km_3_s_2">'Fast Transfer(Nontang) Cal'!$C$4</definedName>
    <definedName name="mu_pluto_m3_s2">'Planetary Data'!$J$26</definedName>
    <definedName name="MU_SUN_km_3_s_2" localSheetId="1">'Patched Conic Interplanetary'!$C$6</definedName>
    <definedName name="mu_sun_m3_s2">'Planetary Data'!$J$8</definedName>
    <definedName name="mu_uranus_m3_s2">'Planetary Data'!$J$23</definedName>
    <definedName name="mu_venus_m3_s2">'Planetary Data'!$J$10</definedName>
    <definedName name="Orbital_Altitude_km">#REF!</definedName>
    <definedName name="Parameter_hyper_arrival_km" localSheetId="1">'Patched Conic Interplanetary'!$C$78</definedName>
    <definedName name="Parameter_hyper_depart_km" localSheetId="1">'Patched Conic Interplanetary'!$C$57</definedName>
    <definedName name="PeriHelion" localSheetId="1">'Patched Conic Interplanetary'!$E$34</definedName>
    <definedName name="Period_arrival_input_days" localSheetId="1">'Patched Conic Interplanetary'!$C$21</definedName>
    <definedName name="Period_Sol_hours">#REF!</definedName>
    <definedName name="R_arrival_km" localSheetId="1">'Patched Conic Interplanetary'!$C$24</definedName>
    <definedName name="R_depart_km" localSheetId="1">'Patched Conic Interplanetary'!$C$16</definedName>
    <definedName name="Radius_ArrivalPlanet_to_Sun_km" localSheetId="1">'Patched Conic Interplanetary'!$C$25</definedName>
    <definedName name="Radius_calc_ws">'Hohmann'!$F$4</definedName>
    <definedName name="Radius_DepartPlanet_to_Sun_km" localSheetId="1">'Patched Conic Interplanetary'!$C$17</definedName>
    <definedName name="Radius_km">#REF!</definedName>
    <definedName name="RaH_arrival_NonCirc_km" localSheetId="1">'Patched Conic Interplanetary'!$C$90</definedName>
    <definedName name="RpH_arrival_km" localSheetId="1">'Patched Conic Interplanetary'!$C$73</definedName>
    <definedName name="RpH_arrival_NonCirc_km" localSheetId="1">'Patched Conic Interplanetary'!$C$89</definedName>
    <definedName name="RpH_depart_km" localSheetId="1">'Patched Conic Interplanetary'!$C$52</definedName>
    <definedName name="Rplanet_FT_km">'Fast Transfer(Nontang) Cal'!$C$5</definedName>
    <definedName name="Rsoi_arrival_km" localSheetId="1">'Patched Conic Interplanetary'!$C$77</definedName>
    <definedName name="Rsoi_depart_km" localSheetId="1">'Patched Conic Interplanetary'!$C$56</definedName>
    <definedName name="selected_solar_body">'Hohmann'!$B$2</definedName>
    <definedName name="semimajor_arrival_Noncirc_km" localSheetId="1">'Patched Conic Interplanetary'!$C$88</definedName>
    <definedName name="Semimajor_Earth_Sun">'Planetary Data'!$F$11</definedName>
    <definedName name="semimajor_hyperbolic_arrival_pt_km" localSheetId="1">'Patched Conic Interplanetary'!$C$74</definedName>
    <definedName name="semimajor_hyperbolic_depart_pt_km" localSheetId="1">'Patched Conic Interplanetary'!$C$53</definedName>
    <definedName name="semimajor_transfer_orbit_km" localSheetId="1">'Patched Conic Interplanetary'!$C$33</definedName>
    <definedName name="Solar_bodies">'Planetary Data'!$B$8:$B$26</definedName>
    <definedName name="solar_bodies_a_km">'Planetary Data'!$G$8:$G$26</definedName>
    <definedName name="solar_bodies_alldata">'Planetary Data'!$B$8:$R$26</definedName>
    <definedName name="solar_bodies_Mu_km">'Planetary Data'!$K$8:$K$26</definedName>
    <definedName name="solar_bodies_Mu_meters">'Planetary Data'!$J$8:$J$26</definedName>
    <definedName name="solar_bodies_orbescpvel_meters">'Planetary Data'!$M$8:$M$26</definedName>
    <definedName name="solar_bodies_orbvel_meters">'Planetary Data'!$L$8:$L$26</definedName>
    <definedName name="solar_bodies_radius_km">'Planetary Data'!$D$8:$D$26</definedName>
    <definedName name="TOF_outbound_days" localSheetId="1">'Patched Conic Interplanetary'!$C$41</definedName>
    <definedName name="TOF_to_hyper_arrival_sec" localSheetId="1">'Patched Conic Interplanetary'!$C$83</definedName>
    <definedName name="TOF_to_hyper_depart_sec" localSheetId="1">'Patched Conic Interplanetary'!$C$62</definedName>
    <definedName name="TrueAnomaly_hyperbolic_arrival_degrees" localSheetId="1">'Patched Conic Interplanetary'!$C$79</definedName>
    <definedName name="TrueAnomaly_hyperbolic_depart_degrees" localSheetId="1">'Patched Conic Interplanetary'!$C$58</definedName>
    <definedName name="UGC1_km3_kg_sec2">'Planetary Data'!$C$2</definedName>
    <definedName name="UGC1_m3_kg_sec2">'Planetary Data'!$C$3</definedName>
    <definedName name="V_arriv_around_sun_km_sec" localSheetId="1">'Patched Conic Interplanetary'!$C$39</definedName>
    <definedName name="V_depart_around_sun_km_sec" localSheetId="1">'Patched Conic Interplanetary'!$C$36</definedName>
    <definedName name="Va_arrival_Noncirc_km_sec" localSheetId="1">'Patched Conic Interplanetary'!$C$94</definedName>
    <definedName name="Va_transfer_orbit_km_sec" localSheetId="1">'Patched Conic Interplanetary'!$C$38</definedName>
    <definedName name="Vburnout_arrival_km_sec" localSheetId="1">'Patched Conic Interplanetary'!$C$70</definedName>
    <definedName name="Vburnout_arrival_ncTransfer_km_sec" localSheetId="1">'Patched Conic Interplanetary'!$C$96</definedName>
    <definedName name="Vburnout_depart_km_sec" localSheetId="1">'Patched Conic Interplanetary'!$C$49</definedName>
    <definedName name="Vchar_NR_km_sec">#REF!</definedName>
    <definedName name="Vcirc_arrival_km_sec" localSheetId="1">'Patched Conic Interplanetary'!$C$67</definedName>
    <definedName name="Vcirc_depart_km_sec" localSheetId="1">'Patched Conic Interplanetary'!$C$47</definedName>
    <definedName name="Vescp_arrival_km_sec" localSheetId="1">'Patched Conic Interplanetary'!$C$68</definedName>
    <definedName name="Vescp_depart_km_sec" localSheetId="1">'Patched Conic Interplanetary'!$C$48</definedName>
    <definedName name="Vhyp_excess_arriv_km_sec" localSheetId="1">'Patched Conic Interplanetary'!$C$40</definedName>
    <definedName name="Vhyp_excess_depart_km_sec" localSheetId="1">'Patched Conic Interplanetary'!$C$37</definedName>
    <definedName name="Vp_arrival_Noncirc_km_sec" localSheetId="1">'Patched Conic Interplanetary'!$C$92</definedName>
    <definedName name="Vp_transfer_orbit_km_sec" localSheetId="1">'Patched Conic Interplanetary'!$C$35</definedName>
    <definedName name="Vrot_Az_Lat_km_sec">#REF!</definedName>
    <definedName name="Vsurf_eq_km_sec">#REF!</definedName>
  </definedNames>
  <calcPr fullCalcOnLoad="1"/>
</workbook>
</file>

<file path=xl/comments1.xml><?xml version="1.0" encoding="utf-8"?>
<comments xmlns="http://schemas.openxmlformats.org/spreadsheetml/2006/main">
  <authors>
    <author>Russell Joyner</author>
  </authors>
  <commentList>
    <comment ref="J19" authorId="0">
      <text>
        <r>
          <rPr>
            <b/>
            <sz val="8"/>
            <rFont val="Tahoma"/>
            <family val="2"/>
          </rPr>
          <t>Russell Joyner:</t>
        </r>
        <r>
          <rPr>
            <sz val="8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2"/>
          </rPr>
          <t>Russell Joyner:</t>
        </r>
        <r>
          <rPr>
            <sz val="8"/>
            <rFont val="Tahoma"/>
            <family val="2"/>
          </rPr>
          <t xml:space="preserve">
dV12= (Vatransfer-Vpcircular)</t>
        </r>
      </text>
    </comment>
  </commentList>
</comments>
</file>

<file path=xl/comments2.xml><?xml version="1.0" encoding="utf-8"?>
<comments xmlns="http://schemas.openxmlformats.org/spreadsheetml/2006/main">
  <authors>
    <author>default</author>
  </authors>
  <commentList>
    <comment ref="C34" authorId="0">
      <text>
        <r>
          <rPr>
            <b/>
            <sz val="8"/>
            <rFont val="Tahoma"/>
            <family val="2"/>
          </rPr>
          <t>Inferior versus Superior Transfers:</t>
        </r>
        <r>
          <rPr>
            <sz val="8"/>
            <rFont val="Tahoma"/>
            <family val="2"/>
          </rPr>
          <t xml:space="preserve">
If Going outbound away from Sun use the Rarrival-Rdeparture relative to Sun, otherwisr going inward toward Sun, Use Rdeparture-Rarrival</t>
        </r>
      </text>
    </comment>
  </commentList>
</comments>
</file>

<file path=xl/sharedStrings.xml><?xml version="1.0" encoding="utf-8"?>
<sst xmlns="http://schemas.openxmlformats.org/spreadsheetml/2006/main" count="575" uniqueCount="299">
  <si>
    <t>m</t>
  </si>
  <si>
    <t>m/s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</si>
  <si>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  <r>
      <rPr>
        <vertAlign val="superscript"/>
        <sz val="10"/>
        <rFont val="Arial"/>
        <family val="2"/>
      </rPr>
      <t>2</t>
    </r>
  </si>
  <si>
    <t>Inputs</t>
  </si>
  <si>
    <t>Calculations</t>
  </si>
  <si>
    <t>E =</t>
  </si>
  <si>
    <r>
      <t>D</t>
    </r>
    <r>
      <rPr>
        <sz val="10"/>
        <rFont val="Arial"/>
        <family val="0"/>
      </rPr>
      <t>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</si>
  <si>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</si>
  <si>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Outputs</t>
  </si>
  <si>
    <r>
      <t>D</t>
    </r>
    <r>
      <rPr>
        <sz val="10"/>
        <rFont val="Arial"/>
        <family val="0"/>
      </rPr>
      <t>V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 xml:space="preserve"> =</t>
    </r>
  </si>
  <si>
    <t>years</t>
  </si>
  <si>
    <t>Departure</t>
  </si>
  <si>
    <t>Arrival</t>
  </si>
  <si>
    <t>Earth</t>
  </si>
  <si>
    <t>Jupiter</t>
  </si>
  <si>
    <t>Days</t>
  </si>
  <si>
    <t>yrs</t>
  </si>
  <si>
    <t>Universal Gravitational Constants</t>
  </si>
  <si>
    <t>UGC1(m3/kg-sec2)</t>
  </si>
  <si>
    <t>TABLES OF PHYSICAL CONSTANTS FOR SOLAR SYSTEM</t>
  </si>
  <si>
    <t>PLANET</t>
  </si>
  <si>
    <t>Radius</t>
  </si>
  <si>
    <t>SemiMajor Axis</t>
  </si>
  <si>
    <t>Relative Mass</t>
  </si>
  <si>
    <t>Mass</t>
  </si>
  <si>
    <t>Mu</t>
  </si>
  <si>
    <t>Orbital Vel</t>
  </si>
  <si>
    <t>Escape Vel</t>
  </si>
  <si>
    <t>Period</t>
  </si>
  <si>
    <t>Eccen.</t>
  </si>
  <si>
    <t>Incl.</t>
  </si>
  <si>
    <t>Angular Velocity</t>
  </si>
  <si>
    <t>Rsoi</t>
  </si>
  <si>
    <t>R(m)</t>
  </si>
  <si>
    <t>R_km</t>
  </si>
  <si>
    <t>a(AU)</t>
  </si>
  <si>
    <t>a(m)</t>
  </si>
  <si>
    <t>a(km)</t>
  </si>
  <si>
    <t>M_rSun</t>
  </si>
  <si>
    <t>M(kg)</t>
  </si>
  <si>
    <r>
      <t xml:space="preserve">m </t>
    </r>
    <r>
      <rPr>
        <sz val="10"/>
        <rFont val="Arial"/>
        <family val="0"/>
      </rPr>
      <t>(m^3/s^2)</t>
    </r>
  </si>
  <si>
    <r>
      <t xml:space="preserve">m </t>
    </r>
    <r>
      <rPr>
        <sz val="10"/>
        <rFont val="Arial"/>
        <family val="0"/>
      </rPr>
      <t>(km^3/s^2)</t>
    </r>
  </si>
  <si>
    <t>Vo(m/s)</t>
  </si>
  <si>
    <t>Vesp(m/s)</t>
  </si>
  <si>
    <t>P(days)</t>
  </si>
  <si>
    <t>e</t>
  </si>
  <si>
    <t>I(deg)</t>
  </si>
  <si>
    <r>
      <t xml:space="preserve">w </t>
    </r>
    <r>
      <rPr>
        <sz val="10"/>
        <rFont val="Arial"/>
        <family val="0"/>
      </rPr>
      <t>(deg/day)</t>
    </r>
  </si>
  <si>
    <t>RSOI(km)</t>
  </si>
  <si>
    <t>SUN</t>
  </si>
  <si>
    <t>Mercury</t>
  </si>
  <si>
    <t>Venus</t>
  </si>
  <si>
    <t>Earth_Moon</t>
  </si>
  <si>
    <t>Mars</t>
  </si>
  <si>
    <t>Phobos</t>
  </si>
  <si>
    <t>Deimos</t>
  </si>
  <si>
    <t>Jupiter_Io</t>
  </si>
  <si>
    <t>Jupiter_Europa</t>
  </si>
  <si>
    <t>Jupiter_Callisto</t>
  </si>
  <si>
    <t>Jupiter_Ganymeade</t>
  </si>
  <si>
    <t>Saturn</t>
  </si>
  <si>
    <t>Saturn_Titan</t>
  </si>
  <si>
    <t>Uranus</t>
  </si>
  <si>
    <t>Neptune</t>
  </si>
  <si>
    <t>Neptune_Triton</t>
  </si>
  <si>
    <t>Pluto</t>
  </si>
  <si>
    <t>Synopic Period (Planetary Alignments) Assuming Average Angular Velocity!!! No Ephemeris Calculations</t>
  </si>
  <si>
    <t>Relative to Earth</t>
  </si>
  <si>
    <t>days</t>
  </si>
  <si>
    <t>(Moon)</t>
  </si>
  <si>
    <t>AU(149 Mil Km)</t>
  </si>
  <si>
    <t>Hohmann dVdep (km/s) (1000 km)</t>
  </si>
  <si>
    <t xml:space="preserve">Hohmann dVarr (km/s) </t>
  </si>
  <si>
    <t>TOF-days</t>
  </si>
  <si>
    <t>Total dV</t>
  </si>
  <si>
    <t>Mars      (Phobos)</t>
  </si>
  <si>
    <t>Jupiter  (Europa)</t>
  </si>
  <si>
    <t>Saturn    (Titan)</t>
  </si>
  <si>
    <t>Uranus  (Miranda)</t>
  </si>
  <si>
    <t>Neptune (Triton)</t>
  </si>
  <si>
    <t>Pluto     (Charon)* Circular</t>
  </si>
  <si>
    <t>km^3/s^2</t>
  </si>
  <si>
    <t>km</t>
  </si>
  <si>
    <t>Solar Body</t>
  </si>
  <si>
    <t>MU_km</t>
  </si>
  <si>
    <t>MU_meters</t>
  </si>
  <si>
    <t>m^3/s^2</t>
  </si>
  <si>
    <r>
      <t>Rp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</si>
  <si>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</si>
  <si>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a(semi-major) =</t>
  </si>
  <si>
    <t>e(eccentricity)=</t>
  </si>
  <si>
    <t>ND</t>
  </si>
  <si>
    <t>INDEX_row</t>
  </si>
  <si>
    <t>INDEX_column</t>
  </si>
  <si>
    <t>Manual</t>
  </si>
  <si>
    <t>Hp(altitude)_init</t>
  </si>
  <si>
    <t>Ha(altitude)_init</t>
  </si>
  <si>
    <t>H(altitude)_final</t>
  </si>
  <si>
    <t>Final Orbit</t>
  </si>
  <si>
    <r>
      <t>R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</si>
  <si>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0"/>
      </rPr>
      <t xml:space="preserve"> =</t>
    </r>
  </si>
  <si>
    <t>seconds</t>
  </si>
  <si>
    <t>hrs</t>
  </si>
  <si>
    <t>TOF (1/2) Orbit =</t>
  </si>
  <si>
    <t>meters</t>
  </si>
  <si>
    <t>Initial Orbit</t>
  </si>
  <si>
    <t>Vcirc_final</t>
  </si>
  <si>
    <t>Transfer Orbit</t>
  </si>
  <si>
    <r>
      <t>m</t>
    </r>
    <r>
      <rPr>
        <vertAlign val="subscript"/>
        <sz val="10"/>
        <color indexed="12"/>
        <rFont val="Arial"/>
        <family val="2"/>
      </rPr>
      <t>central_body</t>
    </r>
    <r>
      <rPr>
        <sz val="10"/>
        <color indexed="12"/>
        <rFont val="Arial"/>
        <family val="2"/>
      </rPr>
      <t xml:space="preserve"> =</t>
    </r>
  </si>
  <si>
    <r>
      <t>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>/s</t>
    </r>
    <r>
      <rPr>
        <vertAlign val="superscript"/>
        <sz val="10"/>
        <color indexed="12"/>
        <rFont val="Arial"/>
        <family val="2"/>
      </rPr>
      <t>2</t>
    </r>
  </si>
  <si>
    <t>ListBox Selected</t>
  </si>
  <si>
    <t>TOF (1 orbit)</t>
  </si>
  <si>
    <t>min</t>
  </si>
  <si>
    <r>
      <t>V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=</t>
    </r>
  </si>
  <si>
    <r>
      <t>V</t>
    </r>
    <r>
      <rPr>
        <vertAlign val="subscript"/>
        <sz val="14"/>
        <rFont val="Arial"/>
        <family val="2"/>
      </rPr>
      <t>a</t>
    </r>
    <r>
      <rPr>
        <sz val="14"/>
        <rFont val="Arial"/>
        <family val="2"/>
      </rPr>
      <t xml:space="preserve"> =</t>
    </r>
  </si>
  <si>
    <r>
      <t>V</t>
    </r>
    <r>
      <rPr>
        <vertAlign val="subscript"/>
        <sz val="14"/>
        <rFont val="Arial"/>
        <family val="2"/>
      </rPr>
      <t>initial_orbit_p_circ</t>
    </r>
    <r>
      <rPr>
        <sz val="14"/>
        <rFont val="Arial"/>
        <family val="2"/>
      </rPr>
      <t xml:space="preserve"> =</t>
    </r>
  </si>
  <si>
    <r>
      <t>V</t>
    </r>
    <r>
      <rPr>
        <vertAlign val="subscript"/>
        <sz val="14"/>
        <rFont val="Arial"/>
        <family val="2"/>
      </rPr>
      <t>initial_orbit_a_circ</t>
    </r>
    <r>
      <rPr>
        <sz val="14"/>
        <rFont val="Arial"/>
        <family val="2"/>
      </rPr>
      <t xml:space="preserve"> =</t>
    </r>
  </si>
  <si>
    <r>
      <t>V</t>
    </r>
    <r>
      <rPr>
        <vertAlign val="subscript"/>
        <sz val="14"/>
        <rFont val="Arial"/>
        <family val="2"/>
      </rPr>
      <t>initial_orbit_p_escp</t>
    </r>
    <r>
      <rPr>
        <sz val="14"/>
        <rFont val="Arial"/>
        <family val="2"/>
      </rPr>
      <t>=</t>
    </r>
  </si>
  <si>
    <r>
      <t>V</t>
    </r>
    <r>
      <rPr>
        <vertAlign val="subscript"/>
        <sz val="14"/>
        <rFont val="Arial"/>
        <family val="2"/>
      </rPr>
      <t>initial_orbit_a_escp</t>
    </r>
    <r>
      <rPr>
        <sz val="14"/>
        <rFont val="Arial"/>
        <family val="2"/>
      </rPr>
      <t>=</t>
    </r>
  </si>
  <si>
    <r>
      <t>V</t>
    </r>
    <r>
      <rPr>
        <vertAlign val="subscript"/>
        <sz val="14"/>
        <rFont val="Arial"/>
        <family val="2"/>
      </rPr>
      <t>final_orbit_p_escp</t>
    </r>
    <r>
      <rPr>
        <sz val="14"/>
        <rFont val="Arial"/>
        <family val="2"/>
      </rPr>
      <t>=</t>
    </r>
  </si>
  <si>
    <r>
      <t>V</t>
    </r>
    <r>
      <rPr>
        <vertAlign val="subscript"/>
        <sz val="14"/>
        <rFont val="Arial"/>
        <family val="2"/>
      </rPr>
      <t>final_orbit_a_escp</t>
    </r>
    <r>
      <rPr>
        <sz val="14"/>
        <rFont val="Arial"/>
        <family val="2"/>
      </rPr>
      <t>=</t>
    </r>
  </si>
  <si>
    <t>Vcirc</t>
  </si>
  <si>
    <t>Vescp</t>
  </si>
  <si>
    <t>sec</t>
  </si>
  <si>
    <t>Inclination angle start</t>
  </si>
  <si>
    <t>deg</t>
  </si>
  <si>
    <t>Inclination angle final</t>
  </si>
  <si>
    <t>delta Inclination</t>
  </si>
  <si>
    <t>RSOI</t>
  </si>
  <si>
    <t>Initial Solar Body</t>
  </si>
  <si>
    <t>Final Solar Body</t>
  </si>
  <si>
    <t>CONIC Check of Desired Window Dates</t>
  </si>
  <si>
    <t>NM</t>
  </si>
  <si>
    <t>Delta V for Escape from Final Orbit</t>
  </si>
  <si>
    <t>MOON</t>
  </si>
  <si>
    <t>L1</t>
  </si>
  <si>
    <t>LLO</t>
  </si>
  <si>
    <t>Semilatus Rectum(P_m)</t>
  </si>
  <si>
    <r>
      <t>V</t>
    </r>
    <r>
      <rPr>
        <vertAlign val="subscript"/>
        <sz val="14"/>
        <rFont val="Arial"/>
        <family val="2"/>
      </rPr>
      <t>for some R(perigee) =</t>
    </r>
  </si>
  <si>
    <t>Hparameter =</t>
  </si>
  <si>
    <r>
      <t>V</t>
    </r>
    <r>
      <rPr>
        <vertAlign val="subscript"/>
        <sz val="12"/>
        <rFont val="Arial"/>
        <family val="2"/>
      </rPr>
      <t xml:space="preserve"> escape f</t>
    </r>
    <r>
      <rPr>
        <vertAlign val="subscript"/>
        <sz val="14"/>
        <rFont val="Arial"/>
        <family val="2"/>
      </rPr>
      <t>or some R(perigee) =</t>
    </r>
  </si>
  <si>
    <t>C3</t>
  </si>
  <si>
    <t>(km^2/s^2)</t>
  </si>
  <si>
    <t>Rearth-moon</t>
  </si>
  <si>
    <t>Hours in a Day</t>
  </si>
  <si>
    <t>PATCHED CONIC INTERPLANETARY ORBITAL VELOCITY PARAMETERS</t>
  </si>
  <si>
    <t>Hohmann Transfer</t>
  </si>
  <si>
    <t>INPUT or SELECTED PARAMETERS</t>
  </si>
  <si>
    <t>kg</t>
  </si>
  <si>
    <t>Mass-Departure planet</t>
  </si>
  <si>
    <t>Mu-Departure planet</t>
  </si>
  <si>
    <t>Radius-Departure planet</t>
  </si>
  <si>
    <t>Parking Orbit at Departure Planet</t>
  </si>
  <si>
    <t>Mass-Arrival planet</t>
  </si>
  <si>
    <t>Mu-Arrival planet</t>
  </si>
  <si>
    <t>Radius-Arrival planet</t>
  </si>
  <si>
    <t>Parking Orbit at Arrival Planet</t>
  </si>
  <si>
    <t>PERIOD of Parking Orbit if NOT Circular</t>
  </si>
  <si>
    <t>Transfer Orbit Conditions</t>
  </si>
  <si>
    <t>PART 1</t>
  </si>
  <si>
    <t>CALCULATED PARAMETERS</t>
  </si>
  <si>
    <t>2a(Major Axis between the two bodies)</t>
  </si>
  <si>
    <t>a(semimajor axis between the two bodies)</t>
  </si>
  <si>
    <t>(Calculation of 1-e/1+e or 1+e/1-e)</t>
  </si>
  <si>
    <t>Eccentricity(e)</t>
  </si>
  <si>
    <t>Velocity Departure Point_ Transfer orbit</t>
  </si>
  <si>
    <t>km/sec</t>
  </si>
  <si>
    <t>Hyperbolic Excess Speed at Departure Planet</t>
  </si>
  <si>
    <t>Velocity Arrival Point_ Transfer orbit</t>
  </si>
  <si>
    <t>Hyperbolic Excess Speed at Arrival Planet</t>
  </si>
  <si>
    <t>Time of Flight (TOF) (1/2 Transfer Orbit)</t>
  </si>
  <si>
    <t>Note: this accounts for travel time from/to Parking orbits to SOI's(Arrival Hpark is in here too )</t>
  </si>
  <si>
    <t>Time of Flight (TOF) from SOI Depart. To SOI Arrival</t>
  </si>
  <si>
    <t>Departure Orbit Conditions</t>
  </si>
  <si>
    <t>PART 2</t>
  </si>
  <si>
    <t>Velocity at Departure Orbit - Circular</t>
  </si>
  <si>
    <t>Velocity at Departure Orbit - Escape</t>
  </si>
  <si>
    <t>Velocity - BURNOUT to get to Hyperbolic Excess Velocity</t>
  </si>
  <si>
    <t>DELTA VELOCITY - Departure Planet, Parking Orbit</t>
  </si>
  <si>
    <t>NOW CALCULATE HYPERBOLIC ELEMENTS AT DEPARTURE</t>
  </si>
  <si>
    <t>Radius at Departure where Impulsive Velocity Applied</t>
  </si>
  <si>
    <t>a(semimajor axis) hyperbolic departure point</t>
  </si>
  <si>
    <t>Eccentricity(e) hyperbolic departure point</t>
  </si>
  <si>
    <t>Hyperbolic Turning Angle at Departure</t>
  </si>
  <si>
    <t>degrees</t>
  </si>
  <si>
    <t>Radius SOI at Departure Planet</t>
  </si>
  <si>
    <t xml:space="preserve">Parameter Distance -hyperbolic departure point </t>
  </si>
  <si>
    <t xml:space="preserve">True Anomaly -hyperbolic departure point </t>
  </si>
  <si>
    <t>Hyperbolic Anomaly at Departure</t>
  </si>
  <si>
    <t>radians</t>
  </si>
  <si>
    <t>Mean Anomaly -hyperbolic departure point</t>
  </si>
  <si>
    <t>Mean Motion -hyperbolic departure point</t>
  </si>
  <si>
    <t>radians/sec</t>
  </si>
  <si>
    <t>Time of Flight(TOF-hyper) to SOI departure planet</t>
  </si>
  <si>
    <t>Arrival Orbit Conditions</t>
  </si>
  <si>
    <t>PART 3</t>
  </si>
  <si>
    <t>Velocity at Arrival Orbit - Circular</t>
  </si>
  <si>
    <t>Velocity at Arrival Orbit - Escape</t>
  </si>
  <si>
    <t>Hyperbolic Excess Speed at Arrival Planet(passed)</t>
  </si>
  <si>
    <t>DELTA VELOCITY - Arrival Planet, Parking Orbit</t>
  </si>
  <si>
    <t>NOW CALCULATE HYPERBOLIC ELEMENTS AT ARRIVAL</t>
  </si>
  <si>
    <t>Radius at Arrival where Impulsive Velocity Applied</t>
  </si>
  <si>
    <t>Hyperbolic Turning Angle at Arrival</t>
  </si>
  <si>
    <t>Radius SOI at Arrival Planet</t>
  </si>
  <si>
    <t xml:space="preserve">Parameter Distance -hyperbolic arrival point </t>
  </si>
  <si>
    <t xml:space="preserve">True Anomaly -hyperbolic arrival point </t>
  </si>
  <si>
    <t>Hyperbolic Anomaly at Arrival</t>
  </si>
  <si>
    <t>Mean Anomaly -hyperbolic arrival point</t>
  </si>
  <si>
    <t>Mean Motion -hyperbolic arrival point</t>
  </si>
  <si>
    <t>Time of Flight(TOF-hyper) to SOI arrival planet</t>
  </si>
  <si>
    <t>ALTERNATE Arrival Orbit Conditions</t>
  </si>
  <si>
    <t xml:space="preserve">PART 3A </t>
  </si>
  <si>
    <t>CALCULATED PARAMETERS - IF NOT CIRCULAR ORBIT AT ARRIVAL PLANET</t>
  </si>
  <si>
    <t>a(semimajor axis) Noncircular Arrival point</t>
  </si>
  <si>
    <t>Radius_perigee Arrival</t>
  </si>
  <si>
    <t>Radius_apogee Arrival</t>
  </si>
  <si>
    <t>Eccentricity(e) hyperbolic Arrival Noncirc point</t>
  </si>
  <si>
    <t>Velocity at Arrival Orbit - Perigee</t>
  </si>
  <si>
    <t>Velocity at Arrival Orbit - Apogee</t>
  </si>
  <si>
    <t>DELTA VELOCITY - Arrival Planet, NONCIRC Parking Orbit</t>
  </si>
  <si>
    <t>TOTAL Delta V  for Circular to Circular Parking orbits</t>
  </si>
  <si>
    <t>TOTAL Delta V  for Circular Departure to Noncircular Arrival Parking orbit</t>
  </si>
  <si>
    <t>Rem+Rm_soi</t>
  </si>
  <si>
    <t>Rem-Rm_soi</t>
  </si>
  <si>
    <t>Primary Solar Body</t>
  </si>
  <si>
    <t>Mass_kg</t>
  </si>
  <si>
    <t>Mass Primary Solar  Body</t>
  </si>
  <si>
    <t>Mu Primary Solar Body</t>
  </si>
  <si>
    <t>Radius to Primary(Sun?)</t>
  </si>
  <si>
    <t>Rsoi(to primary)</t>
  </si>
  <si>
    <t>Radial Distance-Departure planet to Primary</t>
  </si>
  <si>
    <t>ApoRadius</t>
  </si>
  <si>
    <t>PeriRadius</t>
  </si>
  <si>
    <t>Velocity of Departure Planet around Primary</t>
  </si>
  <si>
    <t>Velocity of Arrival Planet around Primary</t>
  </si>
  <si>
    <t>C3(km^2/sec^2)</t>
  </si>
  <si>
    <t>CAN ONLY DO INTERPLANETARY, USE HOLMANN FOR PLANET-MOON TRANSFERS</t>
  </si>
  <si>
    <t xml:space="preserve">Arrival Orbit time if non-circular </t>
  </si>
  <si>
    <t>hours</t>
  </si>
  <si>
    <t>Rem-L1(L1 location)</t>
  </si>
  <si>
    <t>L2</t>
  </si>
  <si>
    <t>Rem+L2(L2 location)</t>
  </si>
  <si>
    <t>FAST TRANSFER WITH PLANE CHANGE ORBITAL VELOCITY MANEUVERS</t>
  </si>
  <si>
    <t>FAST Transfer Orbital Intercept</t>
  </si>
  <si>
    <t>initial</t>
  </si>
  <si>
    <t>MuPlanet</t>
  </si>
  <si>
    <t>Rplanet</t>
  </si>
  <si>
    <t>Delta-V Maneuver Conditions</t>
  </si>
  <si>
    <t>Base (Initial) Orbit Altitude</t>
  </si>
  <si>
    <t>Target (Final) Orbit Altitude</t>
  </si>
  <si>
    <t>Vapproach to Fast Transfer Intersection Point (Inbound)</t>
  </si>
  <si>
    <t>Initial Inclination</t>
  </si>
  <si>
    <t>Final Inclination</t>
  </si>
  <si>
    <t>Major axis(2a)  Transfer Orbit</t>
  </si>
  <si>
    <t>Semi axis(a) Transfer Orbit</t>
  </si>
  <si>
    <t>Eccentricity Transfer Orbit</t>
  </si>
  <si>
    <t>Velocity Holmann Transfer Orbit Periapse = sqrt(Mu/a*( (1+e)/(1-e) ) )</t>
  </si>
  <si>
    <t>Velocity Holman Transfer Orbit Apoaspe = sqrt(Mu/a*( (1+e)/(1-e) ) )</t>
  </si>
  <si>
    <t>Fast Transfer Elliptical Orbit Calculations</t>
  </si>
  <si>
    <t>Make new major axis (2X of Elliptical Transfer Orbit)</t>
  </si>
  <si>
    <t>New Semimajor per 2X above</t>
  </si>
  <si>
    <t>New Apoapse Altitude for 2X transfer ellipse</t>
  </si>
  <si>
    <t>New Transfer Ellipse Eccentricity (e)</t>
  </si>
  <si>
    <t>Vperiapse for Fast Transfer Ellipse(FT Ellipse)= sqrt(Mu/aFT*( (1+eFT)/(1-eFT) ) )</t>
  </si>
  <si>
    <t>km/s</t>
  </si>
  <si>
    <t>Velocity at the Radius of Flight Path at Target Orbit &amp; FT Orbit Intersection</t>
  </si>
  <si>
    <t>FLIGHT PATH ANGLE (PHI) Calculations</t>
  </si>
  <si>
    <t>Parameter (relative to FT Ellipse)</t>
  </si>
  <si>
    <t>True Anomaly(nu)</t>
  </si>
  <si>
    <t xml:space="preserve">radians </t>
  </si>
  <si>
    <t>Flight Path Angle (PHI) relative to FT Ellipse Path</t>
  </si>
  <si>
    <t>deltaV (1) (Vperiapse FT-Vcirc_Initial Orbit)</t>
  </si>
  <si>
    <t>deltaV(2) for Vcirc-Apoapse Radius &amp; Vintercept-Radius</t>
  </si>
  <si>
    <t>Delta V for Above Maneuvers(deltaV1+deltaV2) No Plane Change</t>
  </si>
  <si>
    <t>Delta V for Plane Change at Final Radius</t>
  </si>
  <si>
    <t>Total Delta V for all Manevers</t>
  </si>
  <si>
    <t>Now Time Of Flight for FT Ellipse</t>
  </si>
  <si>
    <t>Need (E) Eccentric Anomaly, (Use FT Ellipse (e) &amp; (nu)</t>
  </si>
  <si>
    <t>Need (M) Mean Anomaly, (Use FT Ellipse (e) &amp; (nu) &amp;(E)</t>
  </si>
  <si>
    <t>Need (n) Mean Motion (Use FT Ellipse (e) &amp; (nu) &amp;(E) &amp; (M))</t>
  </si>
  <si>
    <t>radians/s</t>
  </si>
  <si>
    <t>Now TOF (Time Of Flight)=(M)/(n)</t>
  </si>
  <si>
    <t>Assuming the Vector on approach has been aligned to be tangential the Flight path angle is not needd here with the Law of Cosines Eq.</t>
  </si>
  <si>
    <t>DELTA V  = Velocity at Radius of Flight Path - Vapohelion ,assume tangential</t>
  </si>
  <si>
    <t>ft/sec</t>
  </si>
  <si>
    <t>Vcirc at Initial Orbit Radius</t>
  </si>
  <si>
    <t>Vcirc at Target Orbit Radius</t>
  </si>
  <si>
    <t>Vradius=sqrt(MuPrimary x ( 2 / Rfinal - 1/ aFT) )</t>
  </si>
  <si>
    <t>Ellipse</t>
  </si>
  <si>
    <t>Hperigee</t>
  </si>
  <si>
    <t>Hapogee</t>
  </si>
  <si>
    <t>Vperigee if Elliptical</t>
  </si>
  <si>
    <t>EARTH</t>
  </si>
  <si>
    <t>Realtive to</t>
  </si>
  <si>
    <t>MARS</t>
  </si>
  <si>
    <t>Vescape</t>
  </si>
  <si>
    <t>Vperigee</t>
  </si>
  <si>
    <t>Vapogee</t>
  </si>
  <si>
    <t>nm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</si>
</sst>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"/>
    <numFmt numFmtId="166" formatCode="0.000E+00"/>
    <numFmt numFmtId="167" formatCode="0.00000E+00"/>
    <numFmt numFmtId="168" formatCode="0.0000"/>
    <numFmt numFmtId="169" formatCode="0.0"/>
    <numFmt numFmtId="170" formatCode="0.000000000"/>
    <numFmt numFmtId="171" formatCode="0.00000"/>
    <numFmt numFmtId="172" formatCode="0.00000000"/>
    <numFmt numFmtId="173" formatCode="0.000000"/>
    <numFmt numFmtId="174" formatCode="0.000000E+00"/>
    <numFmt numFmtId="175" formatCode="_(* #,##0.0_);_(* \(#,##0.0\);_(* &quot;-&quot;??_);_(@_)"/>
    <numFmt numFmtId="176" formatCode="0.0000000"/>
    <numFmt numFmtId="177" formatCode="0.0000000000"/>
    <numFmt numFmtId="178" formatCode="0.0000000E+00"/>
  </numFmts>
  <fonts count="59">
    <font>
      <sz val="10"/>
      <name val="Arial"/>
      <family val="0"/>
    </font>
    <font>
      <sz val="12"/>
      <color indexed="8"/>
      <name val="Calibri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42" applyNumberFormat="1" applyFont="1" applyAlignment="1">
      <alignment/>
    </xf>
    <xf numFmtId="0" fontId="8" fillId="0" borderId="0" xfId="0" applyFont="1" applyAlignment="1">
      <alignment horizontal="right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8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8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8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6" borderId="0" xfId="0" applyFill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0" fillId="34" borderId="0" xfId="0" applyFont="1" applyFill="1" applyAlignment="1">
      <alignment/>
    </xf>
    <xf numFmtId="167" fontId="10" fillId="34" borderId="16" xfId="42" applyNumberFormat="1" applyFont="1" applyFill="1" applyBorder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4" fontId="15" fillId="0" borderId="0" xfId="0" applyNumberFormat="1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>
      <alignment/>
    </xf>
    <xf numFmtId="14" fontId="0" fillId="0" borderId="17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173" fontId="5" fillId="0" borderId="0" xfId="0" applyNumberFormat="1" applyFont="1" applyBorder="1" applyAlignment="1">
      <alignment/>
    </xf>
    <xf numFmtId="14" fontId="15" fillId="0" borderId="17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6" fillId="0" borderId="10" xfId="0" applyFont="1" applyBorder="1" applyAlignment="1">
      <alignment/>
    </xf>
    <xf numFmtId="0" fontId="0" fillId="0" borderId="20" xfId="0" applyBorder="1" applyAlignment="1">
      <alignment/>
    </xf>
    <xf numFmtId="164" fontId="5" fillId="0" borderId="17" xfId="0" applyNumberFormat="1" applyFont="1" applyBorder="1" applyAlignment="1">
      <alignment/>
    </xf>
    <xf numFmtId="173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8" fillId="34" borderId="23" xfId="0" applyFont="1" applyFill="1" applyBorder="1" applyAlignment="1">
      <alignment/>
    </xf>
    <xf numFmtId="167" fontId="10" fillId="34" borderId="24" xfId="42" applyNumberFormat="1" applyFont="1" applyFill="1" applyBorder="1" applyAlignment="1">
      <alignment/>
    </xf>
    <xf numFmtId="14" fontId="0" fillId="37" borderId="0" xfId="0" applyNumberFormat="1" applyFill="1" applyAlignment="1">
      <alignment/>
    </xf>
    <xf numFmtId="169" fontId="0" fillId="0" borderId="0" xfId="0" applyNumberFormat="1" applyAlignment="1">
      <alignment horizontal="left"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14" xfId="0" applyFont="1" applyBorder="1" applyAlignment="1">
      <alignment/>
    </xf>
    <xf numFmtId="2" fontId="7" fillId="0" borderId="13" xfId="0" applyNumberFormat="1" applyFont="1" applyBorder="1" applyAlignment="1">
      <alignment/>
    </xf>
    <xf numFmtId="0" fontId="19" fillId="0" borderId="30" xfId="0" applyFont="1" applyBorder="1" applyAlignment="1">
      <alignment/>
    </xf>
    <xf numFmtId="0" fontId="0" fillId="36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33" borderId="31" xfId="0" applyFill="1" applyBorder="1" applyAlignment="1">
      <alignment/>
    </xf>
    <xf numFmtId="0" fontId="0" fillId="0" borderId="26" xfId="0" applyBorder="1" applyAlignment="1">
      <alignment/>
    </xf>
    <xf numFmtId="0" fontId="0" fillId="38" borderId="30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14" fontId="10" fillId="34" borderId="16" xfId="0" applyNumberFormat="1" applyFont="1" applyFill="1" applyBorder="1" applyAlignment="1">
      <alignment/>
    </xf>
    <xf numFmtId="164" fontId="5" fillId="34" borderId="16" xfId="0" applyNumberFormat="1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0" fillId="0" borderId="33" xfId="0" applyBorder="1" applyAlignment="1">
      <alignment/>
    </xf>
    <xf numFmtId="164" fontId="5" fillId="34" borderId="33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43" fontId="5" fillId="0" borderId="10" xfId="42" applyFont="1" applyBorder="1" applyAlignment="1">
      <alignment/>
    </xf>
    <xf numFmtId="0" fontId="0" fillId="0" borderId="10" xfId="0" applyBorder="1" applyAlignment="1">
      <alignment/>
    </xf>
    <xf numFmtId="43" fontId="5" fillId="0" borderId="34" xfId="42" applyFont="1" applyBorder="1" applyAlignment="1">
      <alignment/>
    </xf>
    <xf numFmtId="175" fontId="5" fillId="0" borderId="35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69" fontId="5" fillId="0" borderId="10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4" fontId="20" fillId="0" borderId="17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168" fontId="5" fillId="0" borderId="11" xfId="0" applyNumberFormat="1" applyFont="1" applyBorder="1" applyAlignment="1">
      <alignment/>
    </xf>
    <xf numFmtId="0" fontId="0" fillId="36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43" fontId="5" fillId="0" borderId="17" xfId="42" applyFont="1" applyBorder="1" applyAlignment="1">
      <alignment/>
    </xf>
    <xf numFmtId="43" fontId="5" fillId="0" borderId="0" xfId="42" applyFont="1" applyBorder="1" applyAlignment="1">
      <alignment/>
    </xf>
    <xf numFmtId="0" fontId="0" fillId="33" borderId="11" xfId="0" applyFill="1" applyBorder="1" applyAlignment="1">
      <alignment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8" fillId="33" borderId="30" xfId="0" applyFont="1" applyFill="1" applyBorder="1" applyAlignment="1">
      <alignment/>
    </xf>
    <xf numFmtId="0" fontId="6" fillId="0" borderId="38" xfId="0" applyFont="1" applyBorder="1" applyAlignment="1">
      <alignment/>
    </xf>
    <xf numFmtId="0" fontId="0" fillId="0" borderId="39" xfId="0" applyBorder="1" applyAlignment="1">
      <alignment/>
    </xf>
    <xf numFmtId="0" fontId="8" fillId="0" borderId="40" xfId="0" applyFont="1" applyBorder="1" applyAlignment="1">
      <alignment horizontal="center"/>
    </xf>
    <xf numFmtId="0" fontId="8" fillId="34" borderId="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34" borderId="34" xfId="0" applyFont="1" applyFill="1" applyBorder="1" applyAlignment="1">
      <alignment/>
    </xf>
    <xf numFmtId="174" fontId="8" fillId="34" borderId="20" xfId="0" applyNumberFormat="1" applyFont="1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34" borderId="35" xfId="0" applyFont="1" applyFill="1" applyBorder="1" applyAlignment="1">
      <alignment/>
    </xf>
    <xf numFmtId="174" fontId="8" fillId="34" borderId="19" xfId="0" applyNumberFormat="1" applyFont="1" applyFill="1" applyBorder="1" applyAlignment="1">
      <alignment/>
    </xf>
    <xf numFmtId="0" fontId="8" fillId="0" borderId="36" xfId="0" applyFont="1" applyBorder="1" applyAlignment="1">
      <alignment horizontal="center"/>
    </xf>
    <xf numFmtId="0" fontId="8" fillId="34" borderId="0" xfId="0" applyFont="1" applyFill="1" applyBorder="1" applyAlignment="1">
      <alignment/>
    </xf>
    <xf numFmtId="178" fontId="8" fillId="34" borderId="37" xfId="0" applyNumberFormat="1" applyFont="1" applyFill="1" applyBorder="1" applyAlignment="1">
      <alignment/>
    </xf>
    <xf numFmtId="173" fontId="0" fillId="34" borderId="32" xfId="0" applyNumberForma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34" borderId="33" xfId="0" applyFont="1" applyFill="1" applyBorder="1" applyAlignment="1">
      <alignment/>
    </xf>
    <xf numFmtId="173" fontId="8" fillId="34" borderId="42" xfId="0" applyNumberFormat="1" applyFont="1" applyFill="1" applyBorder="1" applyAlignment="1">
      <alignment/>
    </xf>
    <xf numFmtId="0" fontId="8" fillId="0" borderId="42" xfId="0" applyFont="1" applyBorder="1" applyAlignment="1">
      <alignment/>
    </xf>
    <xf numFmtId="0" fontId="8" fillId="34" borderId="0" xfId="0" applyFont="1" applyFill="1" applyAlignment="1">
      <alignment/>
    </xf>
    <xf numFmtId="173" fontId="8" fillId="34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173" fontId="8" fillId="34" borderId="0" xfId="0" applyNumberFormat="1" applyFont="1" applyFill="1" applyAlignment="1">
      <alignment horizontal="left"/>
    </xf>
    <xf numFmtId="0" fontId="8" fillId="34" borderId="21" xfId="0" applyFont="1" applyFill="1" applyBorder="1" applyAlignment="1">
      <alignment horizontal="right"/>
    </xf>
    <xf numFmtId="2" fontId="8" fillId="34" borderId="20" xfId="0" applyNumberFormat="1" applyFont="1" applyFill="1" applyBorder="1" applyAlignment="1">
      <alignment/>
    </xf>
    <xf numFmtId="0" fontId="18" fillId="39" borderId="13" xfId="0" applyFont="1" applyFill="1" applyBorder="1" applyAlignment="1">
      <alignment/>
    </xf>
    <xf numFmtId="0" fontId="8" fillId="34" borderId="13" xfId="0" applyFont="1" applyFill="1" applyBorder="1" applyAlignment="1">
      <alignment horizontal="right"/>
    </xf>
    <xf numFmtId="2" fontId="8" fillId="34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176" fontId="0" fillId="34" borderId="0" xfId="0" applyNumberFormat="1" applyFill="1" applyAlignment="1">
      <alignment/>
    </xf>
    <xf numFmtId="0" fontId="8" fillId="0" borderId="25" xfId="0" applyFont="1" applyBorder="1" applyAlignment="1">
      <alignment/>
    </xf>
    <xf numFmtId="0" fontId="8" fillId="34" borderId="32" xfId="0" applyFont="1" applyFill="1" applyBorder="1" applyAlignment="1">
      <alignment/>
    </xf>
    <xf numFmtId="176" fontId="7" fillId="34" borderId="42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173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77" fontId="0" fillId="34" borderId="0" xfId="0" applyNumberFormat="1" applyFill="1" applyAlignment="1">
      <alignment/>
    </xf>
    <xf numFmtId="165" fontId="8" fillId="34" borderId="20" xfId="0" applyNumberFormat="1" applyFont="1" applyFill="1" applyBorder="1" applyAlignment="1">
      <alignment/>
    </xf>
    <xf numFmtId="0" fontId="8" fillId="34" borderId="35" xfId="0" applyFont="1" applyFill="1" applyBorder="1" applyAlignment="1">
      <alignment horizontal="right"/>
    </xf>
    <xf numFmtId="165" fontId="8" fillId="34" borderId="19" xfId="0" applyNumberFormat="1" applyFont="1" applyFill="1" applyBorder="1" applyAlignment="1">
      <alignment/>
    </xf>
    <xf numFmtId="0" fontId="24" fillId="0" borderId="25" xfId="0" applyFont="1" applyBorder="1" applyAlignment="1">
      <alignment horizontal="right"/>
    </xf>
    <xf numFmtId="0" fontId="0" fillId="34" borderId="32" xfId="0" applyFont="1" applyFill="1" applyBorder="1" applyAlignment="1">
      <alignment/>
    </xf>
    <xf numFmtId="176" fontId="8" fillId="34" borderId="42" xfId="0" applyNumberFormat="1" applyFont="1" applyFill="1" applyBorder="1" applyAlignment="1">
      <alignment/>
    </xf>
    <xf numFmtId="168" fontId="0" fillId="34" borderId="0" xfId="0" applyNumberFormat="1" applyFill="1" applyAlignment="1">
      <alignment/>
    </xf>
    <xf numFmtId="0" fontId="0" fillId="34" borderId="0" xfId="0" applyFill="1" applyAlignment="1">
      <alignment horizontal="right"/>
    </xf>
    <xf numFmtId="43" fontId="0" fillId="34" borderId="0" xfId="42" applyNumberFormat="1" applyFill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24" fillId="0" borderId="0" xfId="0" applyFont="1" applyAlignment="1">
      <alignment horizontal="right"/>
    </xf>
    <xf numFmtId="0" fontId="24" fillId="4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34" borderId="36" xfId="0" applyFont="1" applyFill="1" applyBorder="1" applyAlignment="1">
      <alignment/>
    </xf>
    <xf numFmtId="167" fontId="10" fillId="34" borderId="11" xfId="42" applyNumberFormat="1" applyFont="1" applyFill="1" applyBorder="1" applyAlignment="1">
      <alignment/>
    </xf>
    <xf numFmtId="0" fontId="0" fillId="34" borderId="43" xfId="0" applyFill="1" applyBorder="1" applyAlignment="1">
      <alignment/>
    </xf>
    <xf numFmtId="0" fontId="8" fillId="35" borderId="36" xfId="0" applyFont="1" applyFill="1" applyBorder="1" applyAlignment="1">
      <alignment/>
    </xf>
    <xf numFmtId="0" fontId="0" fillId="35" borderId="0" xfId="0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34" borderId="35" xfId="0" applyFill="1" applyBorder="1" applyAlignment="1">
      <alignment/>
    </xf>
    <xf numFmtId="0" fontId="8" fillId="38" borderId="36" xfId="0" applyFont="1" applyFill="1" applyBorder="1" applyAlignment="1">
      <alignment/>
    </xf>
    <xf numFmtId="0" fontId="0" fillId="38" borderId="0" xfId="0" applyFill="1" applyBorder="1" applyAlignment="1">
      <alignment/>
    </xf>
    <xf numFmtId="0" fontId="8" fillId="38" borderId="13" xfId="0" applyFont="1" applyFill="1" applyBorder="1" applyAlignment="1">
      <alignment/>
    </xf>
    <xf numFmtId="0" fontId="0" fillId="38" borderId="29" xfId="0" applyFill="1" applyBorder="1" applyAlignment="1">
      <alignment/>
    </xf>
    <xf numFmtId="164" fontId="0" fillId="38" borderId="14" xfId="0" applyNumberFormat="1" applyFill="1" applyBorder="1" applyAlignment="1">
      <alignment/>
    </xf>
    <xf numFmtId="164" fontId="0" fillId="38" borderId="28" xfId="0" applyNumberFormat="1" applyFill="1" applyBorder="1" applyAlignment="1">
      <alignment/>
    </xf>
    <xf numFmtId="0" fontId="8" fillId="38" borderId="30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8" borderId="16" xfId="0" applyFont="1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15" xfId="0" applyFill="1" applyBorder="1" applyAlignment="1">
      <alignment/>
    </xf>
    <xf numFmtId="2" fontId="0" fillId="41" borderId="0" xfId="0" applyNumberFormat="1" applyFill="1" applyAlignment="1">
      <alignment/>
    </xf>
    <xf numFmtId="0" fontId="8" fillId="41" borderId="36" xfId="0" applyFont="1" applyFill="1" applyBorder="1" applyAlignment="1">
      <alignment/>
    </xf>
    <xf numFmtId="0" fontId="0" fillId="41" borderId="0" xfId="0" applyFill="1" applyBorder="1" applyAlignment="1">
      <alignment/>
    </xf>
    <xf numFmtId="164" fontId="0" fillId="41" borderId="37" xfId="0" applyNumberFormat="1" applyFill="1" applyBorder="1" applyAlignment="1">
      <alignment/>
    </xf>
    <xf numFmtId="0" fontId="8" fillId="41" borderId="13" xfId="0" applyFont="1" applyFill="1" applyBorder="1" applyAlignment="1">
      <alignment/>
    </xf>
    <xf numFmtId="0" fontId="0" fillId="41" borderId="29" xfId="0" applyFill="1" applyBorder="1" applyAlignment="1">
      <alignment/>
    </xf>
    <xf numFmtId="164" fontId="0" fillId="41" borderId="14" xfId="0" applyNumberFormat="1" applyFill="1" applyBorder="1" applyAlignment="1">
      <alignment/>
    </xf>
    <xf numFmtId="0" fontId="8" fillId="0" borderId="36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7" fontId="10" fillId="0" borderId="34" xfId="42" applyNumberFormat="1" applyFont="1" applyFill="1" applyBorder="1" applyAlignment="1">
      <alignment/>
    </xf>
    <xf numFmtId="176" fontId="7" fillId="34" borderId="25" xfId="0" applyNumberFormat="1" applyFont="1" applyFill="1" applyBorder="1" applyAlignment="1">
      <alignment/>
    </xf>
    <xf numFmtId="168" fontId="8" fillId="41" borderId="12" xfId="0" applyNumberFormat="1" applyFont="1" applyFill="1" applyBorder="1" applyAlignment="1">
      <alignment horizontal="center"/>
    </xf>
    <xf numFmtId="0" fontId="8" fillId="41" borderId="42" xfId="0" applyFont="1" applyFill="1" applyBorder="1" applyAlignment="1">
      <alignment horizontal="center"/>
    </xf>
    <xf numFmtId="0" fontId="25" fillId="42" borderId="0" xfId="0" applyFont="1" applyFill="1" applyAlignment="1">
      <alignment/>
    </xf>
    <xf numFmtId="0" fontId="0" fillId="34" borderId="34" xfId="0" applyFill="1" applyBorder="1" applyAlignment="1">
      <alignment/>
    </xf>
    <xf numFmtId="0" fontId="0" fillId="0" borderId="17" xfId="0" applyBorder="1" applyAlignment="1">
      <alignment horizontal="right"/>
    </xf>
    <xf numFmtId="176" fontId="0" fillId="34" borderId="19" xfId="0" applyNumberFormat="1" applyFill="1" applyBorder="1" applyAlignment="1">
      <alignment/>
    </xf>
    <xf numFmtId="169" fontId="0" fillId="0" borderId="14" xfId="0" applyNumberFormat="1" applyBorder="1" applyAlignment="1">
      <alignment/>
    </xf>
    <xf numFmtId="0" fontId="0" fillId="34" borderId="18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4" borderId="19" xfId="0" applyFill="1" applyBorder="1" applyAlignment="1">
      <alignment/>
    </xf>
    <xf numFmtId="176" fontId="0" fillId="34" borderId="20" xfId="0" applyNumberFormat="1" applyFill="1" applyBorder="1" applyAlignment="1">
      <alignment horizontal="left"/>
    </xf>
    <xf numFmtId="176" fontId="0" fillId="34" borderId="18" xfId="0" applyNumberFormat="1" applyFill="1" applyBorder="1" applyAlignment="1">
      <alignment horizontal="center"/>
    </xf>
    <xf numFmtId="2" fontId="0" fillId="34" borderId="20" xfId="0" applyNumberFormat="1" applyFill="1" applyBorder="1" applyAlignment="1">
      <alignment horizontal="left"/>
    </xf>
    <xf numFmtId="2" fontId="0" fillId="34" borderId="18" xfId="0" applyNumberFormat="1" applyFill="1" applyBorder="1" applyAlignment="1">
      <alignment horizontal="center"/>
    </xf>
    <xf numFmtId="176" fontId="0" fillId="40" borderId="0" xfId="0" applyNumberFormat="1" applyFont="1" applyFill="1" applyAlignment="1">
      <alignment horizontal="left"/>
    </xf>
    <xf numFmtId="176" fontId="0" fillId="40" borderId="0" xfId="0" applyNumberFormat="1" applyFont="1" applyFill="1" applyAlignment="1">
      <alignment horizontal="center"/>
    </xf>
    <xf numFmtId="0" fontId="8" fillId="34" borderId="29" xfId="0" applyFont="1" applyFill="1" applyBorder="1" applyAlignment="1">
      <alignment/>
    </xf>
    <xf numFmtId="43" fontId="0" fillId="38" borderId="44" xfId="42" applyFont="1" applyFill="1" applyBorder="1" applyAlignment="1">
      <alignment/>
    </xf>
    <xf numFmtId="0" fontId="8" fillId="34" borderId="34" xfId="0" applyFont="1" applyFill="1" applyBorder="1" applyAlignment="1">
      <alignment/>
    </xf>
    <xf numFmtId="0" fontId="8" fillId="34" borderId="35" xfId="0" applyFont="1" applyFill="1" applyBorder="1" applyAlignment="1">
      <alignment/>
    </xf>
    <xf numFmtId="0" fontId="0" fillId="38" borderId="44" xfId="0" applyFill="1" applyBorder="1" applyAlignment="1">
      <alignment/>
    </xf>
    <xf numFmtId="164" fontId="0" fillId="38" borderId="44" xfId="0" applyNumberFormat="1" applyFill="1" applyBorder="1" applyAlignment="1">
      <alignment/>
    </xf>
    <xf numFmtId="167" fontId="0" fillId="38" borderId="44" xfId="0" applyNumberFormat="1" applyFill="1" applyBorder="1" applyAlignment="1">
      <alignment/>
    </xf>
    <xf numFmtId="2" fontId="0" fillId="38" borderId="44" xfId="0" applyNumberForma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27" xfId="0" applyFont="1" applyBorder="1" applyAlignment="1">
      <alignment/>
    </xf>
    <xf numFmtId="0" fontId="0" fillId="0" borderId="36" xfId="0" applyBorder="1" applyAlignment="1">
      <alignment horizontal="right"/>
    </xf>
    <xf numFmtId="1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3" fillId="0" borderId="36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2" fontId="7" fillId="0" borderId="29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34" xfId="0" applyFill="1" applyBorder="1" applyAlignment="1">
      <alignment/>
    </xf>
    <xf numFmtId="2" fontId="8" fillId="33" borderId="20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33" borderId="35" xfId="0" applyFill="1" applyBorder="1" applyAlignment="1">
      <alignment/>
    </xf>
    <xf numFmtId="0" fontId="9" fillId="0" borderId="0" xfId="0" applyFont="1" applyAlignment="1">
      <alignment/>
    </xf>
    <xf numFmtId="0" fontId="8" fillId="36" borderId="45" xfId="0" applyFont="1" applyFill="1" applyBorder="1" applyAlignment="1">
      <alignment/>
    </xf>
    <xf numFmtId="0" fontId="0" fillId="36" borderId="45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6" borderId="46" xfId="0" applyFont="1" applyFill="1" applyBorder="1" applyAlignment="1">
      <alignment/>
    </xf>
    <xf numFmtId="0" fontId="0" fillId="36" borderId="47" xfId="0" applyFont="1" applyFill="1" applyBorder="1" applyAlignment="1">
      <alignment/>
    </xf>
    <xf numFmtId="0" fontId="8" fillId="36" borderId="47" xfId="0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0" fontId="8" fillId="36" borderId="48" xfId="0" applyFont="1" applyFill="1" applyBorder="1" applyAlignment="1">
      <alignment/>
    </xf>
    <xf numFmtId="0" fontId="0" fillId="36" borderId="48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50" xfId="0" applyFill="1" applyBorder="1" applyAlignment="1">
      <alignment/>
    </xf>
    <xf numFmtId="170" fontId="0" fillId="34" borderId="12" xfId="0" applyNumberFormat="1" applyFill="1" applyBorder="1" applyAlignment="1">
      <alignment/>
    </xf>
    <xf numFmtId="0" fontId="0" fillId="34" borderId="30" xfId="0" applyFill="1" applyBorder="1" applyAlignment="1">
      <alignment horizontal="left"/>
    </xf>
    <xf numFmtId="0" fontId="0" fillId="34" borderId="51" xfId="0" applyFill="1" applyBorder="1" applyAlignment="1">
      <alignment/>
    </xf>
    <xf numFmtId="176" fontId="0" fillId="34" borderId="41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176" fontId="0" fillId="34" borderId="12" xfId="0" applyNumberFormat="1" applyFill="1" applyBorder="1" applyAlignment="1">
      <alignment/>
    </xf>
    <xf numFmtId="0" fontId="0" fillId="34" borderId="52" xfId="0" applyFill="1" applyBorder="1" applyAlignment="1">
      <alignment horizontal="left"/>
    </xf>
    <xf numFmtId="176" fontId="0" fillId="34" borderId="41" xfId="0" applyNumberFormat="1" applyFont="1" applyFill="1" applyBorder="1" applyAlignment="1">
      <alignment/>
    </xf>
    <xf numFmtId="176" fontId="0" fillId="34" borderId="12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0" fillId="43" borderId="10" xfId="0" applyFill="1" applyBorder="1" applyAlignment="1">
      <alignment/>
    </xf>
    <xf numFmtId="0" fontId="0" fillId="43" borderId="34" xfId="0" applyFill="1" applyBorder="1" applyAlignment="1">
      <alignment/>
    </xf>
    <xf numFmtId="2" fontId="0" fillId="43" borderId="45" xfId="0" applyNumberFormat="1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0" xfId="0" applyFill="1" applyBorder="1" applyAlignment="1">
      <alignment/>
    </xf>
    <xf numFmtId="2" fontId="0" fillId="43" borderId="47" xfId="0" applyNumberFormat="1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48" xfId="0" applyFill="1" applyBorder="1" applyAlignment="1">
      <alignment/>
    </xf>
    <xf numFmtId="0" fontId="0" fillId="34" borderId="20" xfId="0" applyFill="1" applyBorder="1" applyAlignment="1">
      <alignment/>
    </xf>
    <xf numFmtId="0" fontId="9" fillId="34" borderId="25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0" fillId="34" borderId="0" xfId="0" applyFill="1" applyBorder="1" applyAlignment="1" quotePrefix="1">
      <alignment horizontal="center"/>
    </xf>
    <xf numFmtId="0" fontId="8" fillId="0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/>
    </xf>
    <xf numFmtId="0" fontId="8" fillId="34" borderId="30" xfId="0" applyFont="1" applyFill="1" applyBorder="1" applyAlignment="1">
      <alignment horizontal="left"/>
    </xf>
    <xf numFmtId="173" fontId="8" fillId="38" borderId="28" xfId="0" applyNumberFormat="1" applyFont="1" applyFill="1" applyBorder="1" applyAlignment="1">
      <alignment horizontal="left"/>
    </xf>
    <xf numFmtId="0" fontId="8" fillId="34" borderId="25" xfId="0" applyFont="1" applyFill="1" applyBorder="1" applyAlignment="1">
      <alignment horizontal="center"/>
    </xf>
    <xf numFmtId="0" fontId="0" fillId="38" borderId="32" xfId="0" applyFill="1" applyBorder="1" applyAlignment="1">
      <alignment/>
    </xf>
    <xf numFmtId="172" fontId="8" fillId="38" borderId="26" xfId="0" applyNumberFormat="1" applyFont="1" applyFill="1" applyBorder="1" applyAlignment="1">
      <alignment horizontal="left"/>
    </xf>
    <xf numFmtId="0" fontId="23" fillId="34" borderId="30" xfId="0" applyFont="1" applyFill="1" applyBorder="1" applyAlignment="1">
      <alignment/>
    </xf>
    <xf numFmtId="172" fontId="8" fillId="38" borderId="28" xfId="0" applyNumberFormat="1" applyFont="1" applyFill="1" applyBorder="1" applyAlignment="1">
      <alignment horizontal="center"/>
    </xf>
    <xf numFmtId="0" fontId="23" fillId="34" borderId="36" xfId="0" applyFont="1" applyFill="1" applyBorder="1" applyAlignment="1">
      <alignment horizontal="center"/>
    </xf>
    <xf numFmtId="0" fontId="0" fillId="38" borderId="36" xfId="0" applyFill="1" applyBorder="1" applyAlignment="1">
      <alignment/>
    </xf>
    <xf numFmtId="171" fontId="8" fillId="38" borderId="37" xfId="0" applyNumberFormat="1" applyFont="1" applyFill="1" applyBorder="1" applyAlignment="1">
      <alignment/>
    </xf>
    <xf numFmtId="0" fontId="23" fillId="34" borderId="25" xfId="0" applyFont="1" applyFill="1" applyBorder="1" applyAlignment="1">
      <alignment horizontal="right"/>
    </xf>
    <xf numFmtId="0" fontId="0" fillId="38" borderId="25" xfId="0" applyFill="1" applyBorder="1" applyAlignment="1">
      <alignment/>
    </xf>
    <xf numFmtId="172" fontId="8" fillId="38" borderId="26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0" fillId="38" borderId="30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0" fillId="38" borderId="29" xfId="0" applyFill="1" applyBorder="1" applyAlignment="1">
      <alignment horizontal="right"/>
    </xf>
    <xf numFmtId="0" fontId="0" fillId="38" borderId="14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8" fillId="34" borderId="4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67" fontId="8" fillId="33" borderId="19" xfId="0" applyNumberFormat="1" applyFont="1" applyFill="1" applyBorder="1" applyAlignment="1">
      <alignment/>
    </xf>
    <xf numFmtId="0" fontId="8" fillId="36" borderId="44" xfId="0" applyFont="1" applyFill="1" applyBorder="1" applyAlignment="1">
      <alignment/>
    </xf>
    <xf numFmtId="0" fontId="0" fillId="41" borderId="0" xfId="0" applyFill="1" applyAlignment="1">
      <alignment/>
    </xf>
    <xf numFmtId="176" fontId="0" fillId="34" borderId="44" xfId="0" applyNumberFormat="1" applyFill="1" applyBorder="1" applyAlignment="1">
      <alignment/>
    </xf>
    <xf numFmtId="0" fontId="8" fillId="41" borderId="44" xfId="0" applyFont="1" applyFill="1" applyBorder="1" applyAlignment="1">
      <alignment/>
    </xf>
    <xf numFmtId="169" fontId="0" fillId="33" borderId="49" xfId="0" applyNumberFormat="1" applyFill="1" applyBorder="1" applyAlignment="1">
      <alignment/>
    </xf>
    <xf numFmtId="169" fontId="0" fillId="33" borderId="41" xfId="0" applyNumberFormat="1" applyFill="1" applyBorder="1" applyAlignment="1">
      <alignment/>
    </xf>
    <xf numFmtId="169" fontId="0" fillId="33" borderId="12" xfId="0" applyNumberFormat="1" applyFill="1" applyBorder="1" applyAlignment="1">
      <alignment/>
    </xf>
    <xf numFmtId="169" fontId="0" fillId="33" borderId="42" xfId="0" applyNumberFormat="1" applyFill="1" applyBorder="1" applyAlignment="1">
      <alignment/>
    </xf>
    <xf numFmtId="169" fontId="0" fillId="38" borderId="53" xfId="0" applyNumberFormat="1" applyFill="1" applyBorder="1" applyAlignment="1">
      <alignment/>
    </xf>
    <xf numFmtId="169" fontId="0" fillId="33" borderId="54" xfId="0" applyNumberFormat="1" applyFill="1" applyBorder="1" applyAlignment="1">
      <alignment/>
    </xf>
    <xf numFmtId="169" fontId="0" fillId="33" borderId="55" xfId="0" applyNumberFormat="1" applyFill="1" applyBorder="1" applyAlignment="1">
      <alignment/>
    </xf>
    <xf numFmtId="165" fontId="0" fillId="41" borderId="0" xfId="0" applyNumberFormat="1" applyFill="1" applyAlignment="1">
      <alignment/>
    </xf>
    <xf numFmtId="167" fontId="0" fillId="34" borderId="41" xfId="0" applyNumberFormat="1" applyFill="1" applyBorder="1" applyAlignment="1">
      <alignment/>
    </xf>
    <xf numFmtId="2" fontId="8" fillId="33" borderId="27" xfId="0" applyNumberFormat="1" applyFont="1" applyFill="1" applyBorder="1" applyAlignment="1">
      <alignment/>
    </xf>
    <xf numFmtId="0" fontId="18" fillId="39" borderId="30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center"/>
    </xf>
    <xf numFmtId="0" fontId="18" fillId="39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34</xdr:row>
      <xdr:rowOff>76200</xdr:rowOff>
    </xdr:from>
    <xdr:to>
      <xdr:col>6</xdr:col>
      <xdr:colOff>552450</xdr:colOff>
      <xdr:row>51</xdr:row>
      <xdr:rowOff>28575</xdr:rowOff>
    </xdr:to>
    <xdr:grpSp>
      <xdr:nvGrpSpPr>
        <xdr:cNvPr id="1" name="Group 15"/>
        <xdr:cNvGrpSpPr>
          <a:grpSpLocks/>
        </xdr:cNvGrpSpPr>
      </xdr:nvGrpSpPr>
      <xdr:grpSpPr>
        <a:xfrm>
          <a:off x="1800225" y="7124700"/>
          <a:ext cx="5600700" cy="2743200"/>
          <a:chOff x="164" y="527"/>
          <a:chExt cx="503" cy="288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64" y="567"/>
            <a:ext cx="231" cy="210"/>
          </a:xfrm>
          <a:prstGeom prst="ellips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4" descr="D:\Data\My Documents\My Pictures\Images and Pictures\astronomy_orbmech\solar_system\earth_icon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0" y="632"/>
            <a:ext cx="96" cy="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5"/>
          <xdr:cNvSpPr>
            <a:spLocks/>
          </xdr:cNvSpPr>
        </xdr:nvSpPr>
        <xdr:spPr>
          <a:xfrm flipH="1" flipV="1">
            <a:off x="164" y="666"/>
            <a:ext cx="111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275" y="666"/>
            <a:ext cx="119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275" y="630"/>
            <a:ext cx="0" cy="7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9"/>
          <xdr:cNvSpPr>
            <a:spLocks/>
          </xdr:cNvSpPr>
        </xdr:nvSpPr>
        <xdr:spPr>
          <a:xfrm>
            <a:off x="164" y="527"/>
            <a:ext cx="503" cy="288"/>
          </a:xfrm>
          <a:prstGeom prst="ellips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275" y="672"/>
            <a:ext cx="391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390525</xdr:colOff>
      <xdr:row>41</xdr:row>
      <xdr:rowOff>0</xdr:rowOff>
    </xdr:from>
    <xdr:to>
      <xdr:col>6</xdr:col>
      <xdr:colOff>733425</xdr:colOff>
      <xdr:row>43</xdr:row>
      <xdr:rowOff>95250</xdr:rowOff>
    </xdr:to>
    <xdr:grpSp>
      <xdr:nvGrpSpPr>
        <xdr:cNvPr id="9" name="Group 14"/>
        <xdr:cNvGrpSpPr>
          <a:grpSpLocks/>
        </xdr:cNvGrpSpPr>
      </xdr:nvGrpSpPr>
      <xdr:grpSpPr>
        <a:xfrm>
          <a:off x="7239000" y="8220075"/>
          <a:ext cx="342900" cy="419100"/>
          <a:chOff x="652" y="651"/>
          <a:chExt cx="41" cy="43"/>
        </a:xfrm>
        <a:solidFill>
          <a:srgbClr val="FFFFFF"/>
        </a:solidFill>
      </xdr:grpSpPr>
      <xdr:sp>
        <xdr:nvSpPr>
          <xdr:cNvPr id="10" name="Oval 11"/>
          <xdr:cNvSpPr>
            <a:spLocks/>
          </xdr:cNvSpPr>
        </xdr:nvSpPr>
        <xdr:spPr>
          <a:xfrm>
            <a:off x="658" y="659"/>
            <a:ext cx="27" cy="27"/>
          </a:xfrm>
          <a:prstGeom prst="ellips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V="1">
            <a:off x="657" y="651"/>
            <a:ext cx="29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652" y="656"/>
            <a:ext cx="41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1019175</xdr:colOff>
      <xdr:row>2</xdr:row>
      <xdr:rowOff>9525</xdr:rowOff>
    </xdr:to>
    <xdr:pic>
      <xdr:nvPicPr>
        <xdr:cNvPr id="13" name="List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0" y="209550"/>
          <a:ext cx="2533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2419350</xdr:colOff>
      <xdr:row>4</xdr:row>
      <xdr:rowOff>0</xdr:rowOff>
    </xdr:from>
    <xdr:to>
      <xdr:col>0</xdr:col>
      <xdr:colOff>4267200</xdr:colOff>
      <xdr:row>6</xdr:row>
      <xdr:rowOff>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885825"/>
          <a:ext cx="1847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2409825</xdr:colOff>
      <xdr:row>12</xdr:row>
      <xdr:rowOff>28575</xdr:rowOff>
    </xdr:from>
    <xdr:to>
      <xdr:col>0</xdr:col>
      <xdr:colOff>4267200</xdr:colOff>
      <xdr:row>14</xdr:row>
      <xdr:rowOff>9525</xdr:rowOff>
    </xdr:to>
    <xdr:pic>
      <xdr:nvPicPr>
        <xdr:cNvPr id="2" name="List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409825" y="2247900"/>
          <a:ext cx="1857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2352675</xdr:colOff>
      <xdr:row>21</xdr:row>
      <xdr:rowOff>28575</xdr:rowOff>
    </xdr:from>
    <xdr:to>
      <xdr:col>0</xdr:col>
      <xdr:colOff>4267200</xdr:colOff>
      <xdr:row>23</xdr:row>
      <xdr:rowOff>28575</xdr:rowOff>
    </xdr:to>
    <xdr:pic>
      <xdr:nvPicPr>
        <xdr:cNvPr id="3" name="List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52675" y="3752850"/>
          <a:ext cx="1914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2257425</xdr:colOff>
      <xdr:row>3</xdr:row>
      <xdr:rowOff>9525</xdr:rowOff>
    </xdr:from>
    <xdr:to>
      <xdr:col>0</xdr:col>
      <xdr:colOff>4514850</xdr:colOff>
      <xdr:row>5</xdr:row>
      <xdr:rowOff>38100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57425" y="419100"/>
          <a:ext cx="2257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28</xdr:row>
      <xdr:rowOff>9525</xdr:rowOff>
    </xdr:from>
    <xdr:to>
      <xdr:col>18</xdr:col>
      <xdr:colOff>323850</xdr:colOff>
      <xdr:row>60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8906" t="26042" r="21875" b="22917"/>
        <a:stretch>
          <a:fillRect/>
        </a:stretch>
      </xdr:blipFill>
      <xdr:spPr>
        <a:xfrm>
          <a:off x="10544175" y="4467225"/>
          <a:ext cx="7077075" cy="54959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45"/>
  <sheetViews>
    <sheetView showGridLines="0" zoomScale="75" zoomScaleNormal="75" workbookViewId="0" topLeftCell="A1">
      <selection activeCell="B4" sqref="B4"/>
    </sheetView>
  </sheetViews>
  <sheetFormatPr defaultColWidth="8.8515625" defaultRowHeight="12.75"/>
  <cols>
    <col min="1" max="1" width="24.28125" style="0" customWidth="1"/>
    <col min="2" max="2" width="12.8515625" style="0" customWidth="1"/>
    <col min="3" max="3" width="9.8515625" style="0" customWidth="1"/>
    <col min="4" max="4" width="17.00390625" style="0" customWidth="1"/>
    <col min="5" max="5" width="13.421875" style="0" customWidth="1"/>
    <col min="6" max="6" width="25.28125" style="0" customWidth="1"/>
    <col min="7" max="7" width="13.28125" style="0" customWidth="1"/>
    <col min="8" max="8" width="9.7109375" style="0" customWidth="1"/>
    <col min="9" max="9" width="14.00390625" style="0" customWidth="1"/>
    <col min="10" max="10" width="9.7109375" style="0" customWidth="1"/>
    <col min="11" max="11" width="11.00390625" style="0" customWidth="1"/>
    <col min="12" max="12" width="9.421875" style="0" customWidth="1"/>
    <col min="13" max="13" width="5.28125" style="0" customWidth="1"/>
    <col min="14" max="14" width="11.7109375" style="0" customWidth="1"/>
  </cols>
  <sheetData>
    <row r="1" spans="1:4" ht="16.5" thickBot="1">
      <c r="A1" s="3" t="s">
        <v>3</v>
      </c>
      <c r="B1" s="10" t="s">
        <v>94</v>
      </c>
      <c r="C1" s="51" t="s">
        <v>110</v>
      </c>
      <c r="D1" s="37"/>
    </row>
    <row r="2" spans="1:13" ht="24" customHeight="1">
      <c r="A2" s="36" t="s">
        <v>83</v>
      </c>
      <c r="B2" t="s">
        <v>13</v>
      </c>
      <c r="E2" s="36" t="s">
        <v>84</v>
      </c>
      <c r="F2" s="52">
        <f>VLOOKUP(selected_solar_body,solar_bodies_alldata,10,FALSE)</f>
        <v>398687.2525</v>
      </c>
      <c r="G2" s="44" t="s">
        <v>81</v>
      </c>
      <c r="I2" s="3"/>
      <c r="K2" s="117"/>
      <c r="L2" s="118" t="s">
        <v>134</v>
      </c>
      <c r="M2" s="119"/>
    </row>
    <row r="3" spans="4:13" ht="15.75">
      <c r="D3" t="s">
        <v>132</v>
      </c>
      <c r="E3" s="36" t="s">
        <v>85</v>
      </c>
      <c r="F3" s="52">
        <f>VLOOKUP(selected_solar_body,solar_bodies_alldata,9,FALSE)</f>
        <v>398687252500000</v>
      </c>
      <c r="G3" s="44" t="s">
        <v>86</v>
      </c>
      <c r="I3" s="3"/>
      <c r="K3" s="120" t="s">
        <v>143</v>
      </c>
      <c r="L3" s="29">
        <v>384400</v>
      </c>
      <c r="M3" s="121" t="s">
        <v>82</v>
      </c>
    </row>
    <row r="4" spans="1:13" ht="15.75">
      <c r="A4" s="46" t="s">
        <v>95</v>
      </c>
      <c r="B4" s="334">
        <v>185</v>
      </c>
      <c r="C4" s="46" t="s">
        <v>82</v>
      </c>
      <c r="D4" s="80">
        <f>Hp_altitude_km*1000/0.3048/6076</f>
        <v>99.89390727080773</v>
      </c>
      <c r="E4" s="38" t="s">
        <v>21</v>
      </c>
      <c r="F4" s="52">
        <f>VLOOKUP(selected_solar_body,solar_bodies_alldata,3,FALSE)</f>
        <v>6378.14</v>
      </c>
      <c r="G4" s="44" t="s">
        <v>82</v>
      </c>
      <c r="I4" s="3"/>
      <c r="K4" s="120" t="s">
        <v>128</v>
      </c>
      <c r="L4" s="29">
        <v>66182</v>
      </c>
      <c r="M4" s="121" t="s">
        <v>82</v>
      </c>
    </row>
    <row r="5" spans="1:13" ht="15.75">
      <c r="A5" s="46" t="s">
        <v>96</v>
      </c>
      <c r="B5" s="334">
        <v>185</v>
      </c>
      <c r="C5" s="46" t="s">
        <v>82</v>
      </c>
      <c r="D5" s="80">
        <f>Ha_altitude_km*1000/0.3048/6076</f>
        <v>99.89390727080773</v>
      </c>
      <c r="E5" s="3"/>
      <c r="I5" s="3"/>
      <c r="K5" s="120" t="s">
        <v>135</v>
      </c>
      <c r="L5" s="29">
        <v>57731</v>
      </c>
      <c r="M5" s="121" t="s">
        <v>82</v>
      </c>
    </row>
    <row r="6" spans="1:13" ht="16.5" thickBot="1">
      <c r="A6" s="46" t="s">
        <v>97</v>
      </c>
      <c r="B6" s="334">
        <v>326669</v>
      </c>
      <c r="C6" s="46" t="s">
        <v>82</v>
      </c>
      <c r="D6" s="80">
        <f>H_altitude_final*1000/0.3048/6076</f>
        <v>176390.50159052698</v>
      </c>
      <c r="E6" s="3"/>
      <c r="I6" s="3"/>
      <c r="K6" s="120" t="s">
        <v>240</v>
      </c>
      <c r="L6" s="29">
        <v>63500</v>
      </c>
      <c r="M6" s="121" t="s">
        <v>82</v>
      </c>
    </row>
    <row r="7" spans="1:13" ht="16.5" thickBot="1">
      <c r="A7" s="46" t="s">
        <v>124</v>
      </c>
      <c r="B7" s="335">
        <v>0</v>
      </c>
      <c r="C7" s="89" t="s">
        <v>125</v>
      </c>
      <c r="D7" s="90"/>
      <c r="E7" s="90"/>
      <c r="F7" s="94" t="s">
        <v>124</v>
      </c>
      <c r="G7" s="338">
        <f>B8</f>
        <v>0</v>
      </c>
      <c r="H7" s="96" t="s">
        <v>125</v>
      </c>
      <c r="I7" s="3"/>
      <c r="K7" s="122" t="s">
        <v>136</v>
      </c>
      <c r="L7" s="116">
        <v>111</v>
      </c>
      <c r="M7" s="91" t="s">
        <v>82</v>
      </c>
    </row>
    <row r="8" spans="1:13" ht="16.5" thickBot="1">
      <c r="A8" s="46" t="s">
        <v>126</v>
      </c>
      <c r="B8" s="336">
        <v>0</v>
      </c>
      <c r="C8" s="115" t="s">
        <v>125</v>
      </c>
      <c r="D8" s="116"/>
      <c r="E8" s="116"/>
      <c r="F8" s="81" t="s">
        <v>126</v>
      </c>
      <c r="G8" s="339">
        <v>0</v>
      </c>
      <c r="H8" s="82" t="s">
        <v>125</v>
      </c>
      <c r="I8" s="3"/>
      <c r="K8" s="117" t="s">
        <v>222</v>
      </c>
      <c r="L8" s="90"/>
      <c r="M8" s="119"/>
    </row>
    <row r="9" spans="1:13" ht="16.5" thickBot="1">
      <c r="A9" s="10" t="s">
        <v>139</v>
      </c>
      <c r="B9" s="337">
        <v>0</v>
      </c>
      <c r="C9" s="92" t="s">
        <v>82</v>
      </c>
      <c r="D9" s="337">
        <v>0</v>
      </c>
      <c r="E9" s="97" t="s">
        <v>82</v>
      </c>
      <c r="F9" s="98"/>
      <c r="G9" s="340">
        <v>0</v>
      </c>
      <c r="H9" s="93" t="s">
        <v>82</v>
      </c>
      <c r="I9" s="3"/>
      <c r="K9" s="120"/>
      <c r="L9" s="29">
        <f>L3+L4</f>
        <v>450582</v>
      </c>
      <c r="M9" s="121" t="s">
        <v>82</v>
      </c>
    </row>
    <row r="10" spans="1:13" ht="15.75">
      <c r="A10" s="67" t="s">
        <v>4</v>
      </c>
      <c r="B10" s="56" t="s">
        <v>105</v>
      </c>
      <c r="C10" s="58"/>
      <c r="D10" s="56" t="s">
        <v>107</v>
      </c>
      <c r="E10" s="58"/>
      <c r="F10" s="56"/>
      <c r="G10" s="57" t="s">
        <v>98</v>
      </c>
      <c r="H10" s="58"/>
      <c r="I10" s="3"/>
      <c r="K10" s="120" t="s">
        <v>223</v>
      </c>
      <c r="L10" s="29"/>
      <c r="M10" s="121"/>
    </row>
    <row r="11" spans="1:13" ht="16.5" thickBot="1">
      <c r="A11" s="99" t="s">
        <v>108</v>
      </c>
      <c r="B11" s="100">
        <f>MU_calc_ws_meters</f>
        <v>398687252500000</v>
      </c>
      <c r="C11" s="101" t="s">
        <v>109</v>
      </c>
      <c r="D11" s="100">
        <f>MU_calc_ws_meters</f>
        <v>398687252500000</v>
      </c>
      <c r="E11" s="101" t="s">
        <v>109</v>
      </c>
      <c r="F11" s="102"/>
      <c r="G11" s="103">
        <f>MU_calc_ws_meters</f>
        <v>398687252500000</v>
      </c>
      <c r="H11" s="101" t="s">
        <v>109</v>
      </c>
      <c r="I11" s="3"/>
      <c r="K11" s="122"/>
      <c r="L11" s="116">
        <f>L3-L4</f>
        <v>318218</v>
      </c>
      <c r="M11" s="91" t="s">
        <v>82</v>
      </c>
    </row>
    <row r="12" spans="1:13" ht="15.75">
      <c r="A12" s="59" t="s">
        <v>87</v>
      </c>
      <c r="B12" s="69">
        <f>Radius_calc_ws*1000+Hp_altitude_km*1000</f>
        <v>6563140</v>
      </c>
      <c r="C12" s="58" t="s">
        <v>0</v>
      </c>
      <c r="D12" s="69">
        <f>Radius_calc_ws*1000+Hp_altitude_km*1000</f>
        <v>6563140</v>
      </c>
      <c r="E12" s="58" t="s">
        <v>0</v>
      </c>
      <c r="F12" s="59" t="s">
        <v>100</v>
      </c>
      <c r="G12" s="60">
        <f>+Radius_calc_ws*1000+H_altitude_final*1000</f>
        <v>333047140</v>
      </c>
      <c r="H12" s="58" t="s">
        <v>0</v>
      </c>
      <c r="K12" s="117" t="s">
        <v>241</v>
      </c>
      <c r="L12" s="90"/>
      <c r="M12" s="119"/>
    </row>
    <row r="13" spans="1:13" ht="15.75">
      <c r="A13" s="59" t="s">
        <v>88</v>
      </c>
      <c r="B13" s="69">
        <f>+Radius_calc_ws*1000+Ha_altitude_km*1000</f>
        <v>6563140</v>
      </c>
      <c r="C13" s="58" t="s">
        <v>0</v>
      </c>
      <c r="D13" s="69">
        <f>+Radius_calc_ws*1000+H_altitude_final*1000</f>
        <v>333047140</v>
      </c>
      <c r="E13" s="58" t="s">
        <v>0</v>
      </c>
      <c r="F13" s="59" t="s">
        <v>99</v>
      </c>
      <c r="G13" s="60">
        <f>+Radius_calc_ws*1000+H_altitude_final*1000</f>
        <v>333047140</v>
      </c>
      <c r="H13" s="58" t="s">
        <v>0</v>
      </c>
      <c r="K13" s="120"/>
      <c r="L13" s="29">
        <f>L3+L6</f>
        <v>447900</v>
      </c>
      <c r="M13" s="121" t="s">
        <v>82</v>
      </c>
    </row>
    <row r="14" spans="2:13" ht="12.75">
      <c r="B14" s="61"/>
      <c r="C14" s="58"/>
      <c r="D14" s="61"/>
      <c r="E14" s="58"/>
      <c r="F14" s="61"/>
      <c r="G14" s="29"/>
      <c r="H14" s="58"/>
      <c r="K14" s="120" t="s">
        <v>239</v>
      </c>
      <c r="L14" s="29"/>
      <c r="M14" s="121"/>
    </row>
    <row r="15" spans="2:13" ht="13.5" thickBot="1">
      <c r="B15" s="73" t="str">
        <f>IF(B17&lt;=0,"CIRCULAR","ELLIPTICAL")</f>
        <v>CIRCULAR</v>
      </c>
      <c r="C15" s="74"/>
      <c r="D15" s="73" t="str">
        <f>IF(D17&lt;=0,"CIRCULAR","ELLIPTICAL")</f>
        <v>ELLIPTICAL</v>
      </c>
      <c r="E15" s="74"/>
      <c r="F15" s="73"/>
      <c r="G15" s="30" t="str">
        <f>IF(G17&lt;=0,"CIRCULAR","ELLIPTICAL")</f>
        <v>CIRCULAR</v>
      </c>
      <c r="H15" s="74"/>
      <c r="K15" s="120"/>
      <c r="L15" s="29">
        <f>L3-L5</f>
        <v>326669</v>
      </c>
      <c r="M15" s="121" t="s">
        <v>82</v>
      </c>
    </row>
    <row r="16" spans="1:14" ht="15.75">
      <c r="A16" t="s">
        <v>89</v>
      </c>
      <c r="B16" s="69">
        <f>0.5*(B12+B13)</f>
        <v>6563140</v>
      </c>
      <c r="C16" s="58" t="s">
        <v>0</v>
      </c>
      <c r="D16" s="69">
        <f>0.5*(D12+D13)</f>
        <v>169805140</v>
      </c>
      <c r="E16" s="58" t="s">
        <v>0</v>
      </c>
      <c r="F16" s="61" t="s">
        <v>89</v>
      </c>
      <c r="G16" s="60">
        <f>0.5*(G12+G13)</f>
        <v>333047140</v>
      </c>
      <c r="H16" s="29" t="s">
        <v>0</v>
      </c>
      <c r="I16" s="117"/>
      <c r="J16" s="246" t="s">
        <v>8</v>
      </c>
      <c r="K16" s="90"/>
      <c r="L16" s="90"/>
      <c r="M16" s="90"/>
      <c r="N16" s="119"/>
    </row>
    <row r="17" spans="1:14" ht="12.75">
      <c r="A17" s="1" t="s">
        <v>90</v>
      </c>
      <c r="B17" s="70">
        <f>(B13-B12)/(2*B16)</f>
        <v>0</v>
      </c>
      <c r="C17" s="58" t="s">
        <v>91</v>
      </c>
      <c r="D17" s="70">
        <f>(D13-D12)/(2*D16)</f>
        <v>0.9613489909669402</v>
      </c>
      <c r="E17" s="58" t="s">
        <v>91</v>
      </c>
      <c r="F17" s="59" t="s">
        <v>90</v>
      </c>
      <c r="G17" s="62">
        <f>(G13-G12)/(2*G16)</f>
        <v>0</v>
      </c>
      <c r="H17" s="29"/>
      <c r="I17" s="247"/>
      <c r="J17" s="248"/>
      <c r="K17" s="29"/>
      <c r="L17" s="249"/>
      <c r="M17" s="29"/>
      <c r="N17" s="121"/>
    </row>
    <row r="18" spans="1:14" ht="14.25">
      <c r="A18" s="1"/>
      <c r="B18" s="70"/>
      <c r="C18" s="72" t="s">
        <v>5</v>
      </c>
      <c r="D18" s="69">
        <f>-B11/2/D16</f>
        <v>-1173955.195054755</v>
      </c>
      <c r="E18" s="58" t="s">
        <v>2</v>
      </c>
      <c r="F18" s="59"/>
      <c r="G18" s="62"/>
      <c r="H18" s="29"/>
      <c r="I18" s="247" t="s">
        <v>127</v>
      </c>
      <c r="J18" s="248">
        <f>ABS(B7-B8)</f>
        <v>0</v>
      </c>
      <c r="K18" s="29" t="s">
        <v>125</v>
      </c>
      <c r="L18" s="249"/>
      <c r="M18" s="29"/>
      <c r="N18" s="121"/>
    </row>
    <row r="19" spans="1:20" ht="21.75" thickBot="1">
      <c r="A19" s="55" t="s">
        <v>115</v>
      </c>
      <c r="B19" s="71">
        <f>SQRT(B11/B16*((1+B17))/(1-B17))</f>
        <v>7793.9989104373035</v>
      </c>
      <c r="C19" s="58" t="s">
        <v>1</v>
      </c>
      <c r="D19" s="71">
        <f>SQRT(B11/D16*((1+D17))/(1-D17))</f>
        <v>10915.352840915697</v>
      </c>
      <c r="E19" s="58" t="s">
        <v>1</v>
      </c>
      <c r="F19" s="63" t="s">
        <v>113</v>
      </c>
      <c r="G19" s="64">
        <f>SQRT(B11/G16*((1+G17))/(1-G17))</f>
        <v>1094.1158780722594</v>
      </c>
      <c r="H19" s="29" t="s">
        <v>1</v>
      </c>
      <c r="I19" s="247" t="s">
        <v>6</v>
      </c>
      <c r="J19" s="64">
        <f>SQRT(B19^2+D19^2-2*B19*D19*COS(PI()/180*(ABS(B7-B8))))</f>
        <v>3121.3539304783944</v>
      </c>
      <c r="K19" s="29" t="s">
        <v>1</v>
      </c>
      <c r="L19" s="251"/>
      <c r="M19" s="252"/>
      <c r="N19" s="121"/>
      <c r="P19">
        <f>D19/0.3048</f>
        <v>35811.52506862105</v>
      </c>
      <c r="Q19" t="s">
        <v>284</v>
      </c>
      <c r="R19" t="s">
        <v>296</v>
      </c>
      <c r="S19">
        <f>G19/0.3048</f>
        <v>3589.6190225467826</v>
      </c>
      <c r="T19" t="s">
        <v>284</v>
      </c>
    </row>
    <row r="20" spans="1:18" ht="21">
      <c r="A20" s="55" t="s">
        <v>117</v>
      </c>
      <c r="B20" s="71">
        <f>SQRT(2*B11/(B12))</f>
        <v>11022.378964261561</v>
      </c>
      <c r="C20" s="58" t="s">
        <v>1</v>
      </c>
      <c r="D20" s="71">
        <f>SQRT(2*D11/(D12))</f>
        <v>11022.378964261561</v>
      </c>
      <c r="E20" s="58" t="s">
        <v>1</v>
      </c>
      <c r="F20" s="63" t="s">
        <v>119</v>
      </c>
      <c r="G20" s="64">
        <f>SQRT(2*B11/(G12))</f>
        <v>1547.313513577537</v>
      </c>
      <c r="H20" s="29" t="s">
        <v>1</v>
      </c>
      <c r="I20" s="247" t="s">
        <v>127</v>
      </c>
      <c r="J20" s="248">
        <f>ABS(G7-G8)</f>
        <v>0</v>
      </c>
      <c r="K20" s="29" t="s">
        <v>125</v>
      </c>
      <c r="L20" s="88" t="s">
        <v>133</v>
      </c>
      <c r="M20" s="83"/>
      <c r="N20" s="84"/>
      <c r="P20">
        <f>D20/0.3048</f>
        <v>36162.66064390276</v>
      </c>
      <c r="Q20" t="s">
        <v>284</v>
      </c>
      <c r="R20" t="s">
        <v>295</v>
      </c>
    </row>
    <row r="21" spans="1:18" ht="21.75" thickBot="1">
      <c r="A21" s="55" t="s">
        <v>116</v>
      </c>
      <c r="B21" s="71">
        <f>SQRT(B11/B16*((1-B17))/(1+B17))</f>
        <v>7793.9989104373035</v>
      </c>
      <c r="C21" s="58" t="s">
        <v>1</v>
      </c>
      <c r="D21" s="71">
        <f>SQRT(B11/D16*((1-D17))/(1+D17))</f>
        <v>215.10164850635667</v>
      </c>
      <c r="E21" s="58" t="s">
        <v>1</v>
      </c>
      <c r="F21" s="63" t="s">
        <v>114</v>
      </c>
      <c r="G21" s="64">
        <f>SQRT(B11/G16*((1-G17))/(1+G17))</f>
        <v>1094.1158780722594</v>
      </c>
      <c r="H21" s="29" t="s">
        <v>1</v>
      </c>
      <c r="I21" s="247" t="s">
        <v>7</v>
      </c>
      <c r="J21" s="64">
        <f>SQRT(D21^2+G19^2-2*D21*G19*COS(PI()/180*(ABS(G7-G8))))</f>
        <v>879.0142295659027</v>
      </c>
      <c r="K21" s="29" t="s">
        <v>1</v>
      </c>
      <c r="L21" s="87">
        <f>ABS(G20-G19)</f>
        <v>453.1976355052775</v>
      </c>
      <c r="M21" s="85" t="s">
        <v>1</v>
      </c>
      <c r="N21" s="86"/>
      <c r="P21">
        <f>D21/0.3048</f>
        <v>705.7140699027449</v>
      </c>
      <c r="Q21" t="s">
        <v>284</v>
      </c>
      <c r="R21" t="s">
        <v>297</v>
      </c>
    </row>
    <row r="22" spans="1:14" ht="18.75">
      <c r="A22" s="55" t="s">
        <v>118</v>
      </c>
      <c r="B22" s="71">
        <f>SQRT(2*B11/(B13))</f>
        <v>11022.378964261561</v>
      </c>
      <c r="C22" s="58" t="s">
        <v>1</v>
      </c>
      <c r="D22" s="71">
        <f>SQRT(2*D11/(D13))</f>
        <v>1547.313513577537</v>
      </c>
      <c r="E22" s="58" t="s">
        <v>1</v>
      </c>
      <c r="F22" s="63" t="s">
        <v>120</v>
      </c>
      <c r="G22" s="64">
        <f>SQRT(2*B11/(G13))</f>
        <v>1547.313513577537</v>
      </c>
      <c r="H22" s="29" t="s">
        <v>1</v>
      </c>
      <c r="I22" s="247"/>
      <c r="L22" s="29"/>
      <c r="M22" s="29"/>
      <c r="N22" s="121"/>
    </row>
    <row r="23" spans="1:14" ht="21.75" customHeight="1">
      <c r="A23" s="109" t="s">
        <v>137</v>
      </c>
      <c r="B23" s="110">
        <f>(B16*(1-B17^2))/1000</f>
        <v>6563.14</v>
      </c>
      <c r="C23" s="68" t="s">
        <v>82</v>
      </c>
      <c r="D23" s="110">
        <f>(D16*(1-D17^2))/1000</f>
        <v>12872.608016574748</v>
      </c>
      <c r="E23" s="68" t="s">
        <v>82</v>
      </c>
      <c r="F23" s="106"/>
      <c r="G23" s="111">
        <f>(G16*(1-G17^2))/1000</f>
        <v>333047.14</v>
      </c>
      <c r="H23" s="244" t="s">
        <v>82</v>
      </c>
      <c r="I23" s="247"/>
      <c r="L23" s="253"/>
      <c r="M23" s="253"/>
      <c r="N23" s="121"/>
    </row>
    <row r="24" spans="1:14" ht="18.75">
      <c r="A24" s="112" t="s">
        <v>138</v>
      </c>
      <c r="B24" s="71">
        <f>SQRT(MU_calc_ws_meters*(2/(Radius_calc_ws*1000+B9*1000)-1/(2*Radius_calc_ws*1000+B9*1000+H_altitude_final*1000)))</f>
        <v>11128.44022261242</v>
      </c>
      <c r="C24" s="58" t="s">
        <v>1</v>
      </c>
      <c r="D24" s="71">
        <f>SQRT(MU_calc_ws_meters*(2/(Radius_calc_ws*1000+D9*1000)-1/(2*Radius_calc_ws*1000+D9*1000+H_altitude_final*1000)))</f>
        <v>11128.44022261242</v>
      </c>
      <c r="E24" s="58" t="s">
        <v>1</v>
      </c>
      <c r="F24" s="112" t="s">
        <v>138</v>
      </c>
      <c r="G24" s="71">
        <f>SQRT(MU_calc_ws_meters*(2/(Radius_calc_ws*1000+G9*1000)-1/(2*Radius_calc_ws*1000+G9*1000+H_altitude_final*1000)))</f>
        <v>11128.44022261242</v>
      </c>
      <c r="H24" s="29" t="s">
        <v>1</v>
      </c>
      <c r="I24" s="247"/>
      <c r="J24" s="64"/>
      <c r="K24" s="29"/>
      <c r="L24" s="253"/>
      <c r="M24" s="253"/>
      <c r="N24" s="121"/>
    </row>
    <row r="25" spans="1:14" ht="18.75">
      <c r="A25" s="112" t="s">
        <v>140</v>
      </c>
      <c r="B25" s="71">
        <f>SQRT(2)*B24</f>
        <v>15737.99109087675</v>
      </c>
      <c r="C25" s="58" t="s">
        <v>1</v>
      </c>
      <c r="D25" s="71">
        <f>SQRT(2)*D24</f>
        <v>15737.99109087675</v>
      </c>
      <c r="E25" s="58" t="s">
        <v>1</v>
      </c>
      <c r="F25" s="112" t="s">
        <v>140</v>
      </c>
      <c r="G25" s="64">
        <f>SQRT(2)*G24</f>
        <v>15737.99109087675</v>
      </c>
      <c r="H25" s="29" t="s">
        <v>1</v>
      </c>
      <c r="I25" s="247" t="s">
        <v>106</v>
      </c>
      <c r="J25" s="64">
        <f>SQRT(B11/G13)</f>
        <v>1094.1158780722594</v>
      </c>
      <c r="K25" s="29" t="s">
        <v>1</v>
      </c>
      <c r="L25" s="253"/>
      <c r="M25" s="253"/>
      <c r="N25" s="121"/>
    </row>
    <row r="26" spans="1:14" ht="22.5" customHeight="1">
      <c r="A26" s="113" t="s">
        <v>141</v>
      </c>
      <c r="B26" s="114">
        <f>(B24/1000)^2-(B25/1000)^2</f>
        <v>-123.842181788258</v>
      </c>
      <c r="C26" s="66" t="s">
        <v>142</v>
      </c>
      <c r="D26" s="114">
        <f>(D24/1000)^2-(D25/1000)^2</f>
        <v>-123.842181788258</v>
      </c>
      <c r="E26" s="66" t="s">
        <v>142</v>
      </c>
      <c r="F26" s="65" t="s">
        <v>141</v>
      </c>
      <c r="G26" s="114">
        <f>(G24/1000)^2-(G25/1000)^2</f>
        <v>-123.842181788258</v>
      </c>
      <c r="H26" s="245" t="s">
        <v>142</v>
      </c>
      <c r="I26" s="250"/>
      <c r="J26" s="64"/>
      <c r="K26" s="29"/>
      <c r="L26" s="253"/>
      <c r="M26" s="253"/>
      <c r="N26" s="121"/>
    </row>
    <row r="27" spans="2:14" ht="12">
      <c r="B27" s="61"/>
      <c r="C27" s="58"/>
      <c r="D27" s="61"/>
      <c r="E27" s="58"/>
      <c r="F27" s="61"/>
      <c r="G27" s="29"/>
      <c r="H27" s="29"/>
      <c r="I27" s="250"/>
      <c r="J27" s="64"/>
      <c r="K27" s="29"/>
      <c r="L27" s="253"/>
      <c r="M27" s="253"/>
      <c r="N27" s="121"/>
    </row>
    <row r="28" spans="1:14" ht="12">
      <c r="A28" s="1" t="s">
        <v>103</v>
      </c>
      <c r="B28" s="71">
        <f>PI()*SQRT(B16^3/MU_calc_ws_meters)</f>
        <v>2645.4600065275663</v>
      </c>
      <c r="C28" s="58" t="s">
        <v>101</v>
      </c>
      <c r="D28" s="71">
        <f>PI()*SQRT(D16^3/MU_calc_ws_meters)</f>
        <v>348144.82664864196</v>
      </c>
      <c r="E28" s="58" t="s">
        <v>101</v>
      </c>
      <c r="F28" s="61"/>
      <c r="G28" s="64">
        <f>PI()*SQRT(G16^3/MU_calc_ws_meters)</f>
        <v>956295.8268794907</v>
      </c>
      <c r="H28" s="29" t="s">
        <v>101</v>
      </c>
      <c r="I28" s="120"/>
      <c r="J28" s="29"/>
      <c r="K28" s="29"/>
      <c r="L28" s="29"/>
      <c r="M28" s="29"/>
      <c r="N28" s="121"/>
    </row>
    <row r="29" spans="1:14" ht="12">
      <c r="A29" s="1" t="s">
        <v>103</v>
      </c>
      <c r="B29" s="71">
        <f>B28/3600</f>
        <v>0.7348500018132128</v>
      </c>
      <c r="C29" s="58" t="s">
        <v>102</v>
      </c>
      <c r="D29" s="71">
        <f>D28/3600</f>
        <v>96.70689629128944</v>
      </c>
      <c r="E29" s="58" t="s">
        <v>102</v>
      </c>
      <c r="F29" s="61"/>
      <c r="G29" s="64">
        <f>G28/3600</f>
        <v>265.6377296887474</v>
      </c>
      <c r="H29" s="29" t="s">
        <v>102</v>
      </c>
      <c r="I29" s="250" t="s">
        <v>9</v>
      </c>
      <c r="J29" s="254">
        <f>J19+J21</f>
        <v>4000.368160044297</v>
      </c>
      <c r="K29" s="29" t="s">
        <v>1</v>
      </c>
      <c r="L29" s="29"/>
      <c r="M29" s="29"/>
      <c r="N29" s="121"/>
    </row>
    <row r="30" spans="1:14" ht="12.75" thickBot="1">
      <c r="A30" s="1" t="s">
        <v>103</v>
      </c>
      <c r="B30" s="71">
        <f>B29/24</f>
        <v>0.030618750075550535</v>
      </c>
      <c r="C30" s="58" t="s">
        <v>68</v>
      </c>
      <c r="D30" s="71">
        <f>D29/24</f>
        <v>4.02945401213706</v>
      </c>
      <c r="E30" s="58" t="s">
        <v>68</v>
      </c>
      <c r="F30" s="61"/>
      <c r="G30" s="64">
        <f>G29/24</f>
        <v>11.068238737031143</v>
      </c>
      <c r="H30" s="29" t="s">
        <v>68</v>
      </c>
      <c r="I30" s="255"/>
      <c r="J30" s="256"/>
      <c r="K30" s="116"/>
      <c r="L30" s="116"/>
      <c r="M30" s="116"/>
      <c r="N30" s="91"/>
    </row>
    <row r="31" spans="1:8" ht="12">
      <c r="A31" s="1" t="s">
        <v>111</v>
      </c>
      <c r="B31" s="105">
        <f>B29*2*60</f>
        <v>88.18200021758554</v>
      </c>
      <c r="C31" s="68" t="s">
        <v>112</v>
      </c>
      <c r="D31" s="105">
        <f>D29*2*60</f>
        <v>11604.827554954732</v>
      </c>
      <c r="E31" s="68" t="s">
        <v>112</v>
      </c>
      <c r="F31" s="106"/>
      <c r="G31" s="107">
        <f>G29*2*60</f>
        <v>31876.527562649688</v>
      </c>
      <c r="H31" s="68" t="s">
        <v>112</v>
      </c>
    </row>
    <row r="32" spans="1:8" ht="12">
      <c r="A32" s="1" t="s">
        <v>111</v>
      </c>
      <c r="B32" s="123">
        <f>B31/60</f>
        <v>1.4697000036264256</v>
      </c>
      <c r="C32" s="58" t="s">
        <v>102</v>
      </c>
      <c r="D32" s="123">
        <f>D31/60</f>
        <v>193.41379258257888</v>
      </c>
      <c r="E32" s="58" t="s">
        <v>102</v>
      </c>
      <c r="F32" s="61"/>
      <c r="G32" s="124"/>
      <c r="H32" s="58"/>
    </row>
    <row r="33" spans="1:10" ht="15.75" customHeight="1">
      <c r="A33" s="1" t="s">
        <v>144</v>
      </c>
      <c r="B33" s="125">
        <v>24.56</v>
      </c>
      <c r="C33" s="66"/>
      <c r="D33" s="104">
        <f>B33/D32</f>
        <v>0.1269816369973408</v>
      </c>
      <c r="E33" s="66" t="s">
        <v>68</v>
      </c>
      <c r="F33" s="65"/>
      <c r="G33" s="108">
        <f>G31/60</f>
        <v>531.2754593774948</v>
      </c>
      <c r="H33" s="66" t="s">
        <v>102</v>
      </c>
      <c r="J33" s="2"/>
    </row>
    <row r="34" spans="6:9" ht="15">
      <c r="F34" s="3"/>
      <c r="G34" s="104">
        <f>G33/24</f>
        <v>22.136477474062286</v>
      </c>
      <c r="H34" s="66" t="s">
        <v>68</v>
      </c>
      <c r="I34" s="3"/>
    </row>
    <row r="35" ht="15.75">
      <c r="I35" s="3"/>
    </row>
    <row r="39" ht="12.75">
      <c r="E39" s="48"/>
    </row>
    <row r="40" spans="4:5" ht="12.75">
      <c r="D40" s="53">
        <f>B13</f>
        <v>6563140</v>
      </c>
      <c r="E40" s="48"/>
    </row>
    <row r="41" spans="4:5" ht="12.75">
      <c r="D41" s="16" t="s">
        <v>104</v>
      </c>
      <c r="E41" s="54">
        <f>B20</f>
        <v>11022.378964261561</v>
      </c>
    </row>
    <row r="42" spans="1:9" ht="12.75">
      <c r="A42" s="47">
        <f>B19</f>
        <v>7793.9989104373035</v>
      </c>
      <c r="E42" s="50" t="str">
        <f>C20</f>
        <v>m/s</v>
      </c>
      <c r="H42" s="54" t="s">
        <v>121</v>
      </c>
      <c r="I42" t="s">
        <v>122</v>
      </c>
    </row>
    <row r="43" spans="1:9" ht="12.75">
      <c r="A43" s="48" t="str">
        <f>C19</f>
        <v>m/s</v>
      </c>
      <c r="H43" s="54">
        <f>G19</f>
        <v>1094.1158780722594</v>
      </c>
      <c r="I43" s="54">
        <f>G20</f>
        <v>1547.313513577537</v>
      </c>
    </row>
    <row r="44" spans="2:9" ht="12.75">
      <c r="B44" s="49">
        <f>B12</f>
        <v>6563140</v>
      </c>
      <c r="F44" s="53">
        <f>D13</f>
        <v>333047140</v>
      </c>
      <c r="H44" t="s">
        <v>1</v>
      </c>
      <c r="I44" s="50" t="s">
        <v>1</v>
      </c>
    </row>
    <row r="45" spans="2:6" ht="12.75">
      <c r="B45" s="48" t="s">
        <v>104</v>
      </c>
      <c r="F45" s="16" t="s">
        <v>104</v>
      </c>
    </row>
  </sheetData>
  <sheetProtection/>
  <printOptions/>
  <pageMargins left="0.5" right="0.24" top="0.57" bottom="0.81" header="0.25" footer="0.5"/>
  <pageSetup fitToHeight="1" fitToWidth="1" horizontalDpi="600" verticalDpi="600" orientation="landscape" scale="53"/>
  <headerFooter alignWithMargins="0">
    <oddHeader>&amp;CPratt &amp;&amp; Whitney</oddHeader>
    <oddFooter>&amp;LR. Joyner&amp;C&amp;F&amp;R&amp;D
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21">
    <pageSetUpPr fitToPage="1"/>
  </sheetPr>
  <dimension ref="A1:I100"/>
  <sheetViews>
    <sheetView tabSelected="1" zoomScale="60" zoomScaleNormal="60" workbookViewId="0" topLeftCell="A1">
      <selection activeCell="C22" sqref="C22"/>
    </sheetView>
  </sheetViews>
  <sheetFormatPr defaultColWidth="8.8515625" defaultRowHeight="12.75"/>
  <cols>
    <col min="1" max="1" width="64.00390625" style="0" customWidth="1"/>
    <col min="2" max="2" width="9.7109375" style="0" customWidth="1"/>
    <col min="3" max="3" width="30.28125" style="0" customWidth="1"/>
    <col min="4" max="4" width="27.28125" style="0" customWidth="1"/>
    <col min="5" max="5" width="16.421875" style="0" customWidth="1"/>
    <col min="6" max="6" width="11.7109375" style="0" customWidth="1"/>
    <col min="7" max="7" width="14.421875" style="0" customWidth="1"/>
    <col min="8" max="8" width="12.28125" style="0" customWidth="1"/>
    <col min="9" max="10" width="8.8515625" style="0" customWidth="1"/>
    <col min="11" max="11" width="13.7109375" style="0" customWidth="1"/>
  </cols>
  <sheetData>
    <row r="1" spans="1:2" ht="12.75">
      <c r="A1" s="12" t="s">
        <v>145</v>
      </c>
      <c r="B1" s="12"/>
    </row>
    <row r="2" ht="18.75">
      <c r="A2" s="126" t="s">
        <v>146</v>
      </c>
    </row>
    <row r="3" spans="1:6" ht="18.75">
      <c r="A3" s="127" t="s">
        <v>147</v>
      </c>
      <c r="B3" s="222" t="s">
        <v>236</v>
      </c>
      <c r="C3" s="222"/>
      <c r="D3" s="222"/>
      <c r="E3" s="222"/>
      <c r="F3" s="222"/>
    </row>
    <row r="4" spans="1:3" ht="19.5" thickBot="1">
      <c r="A4" s="128"/>
      <c r="B4" s="129"/>
      <c r="C4" s="129"/>
    </row>
    <row r="5" spans="1:7" ht="12.75">
      <c r="A5" s="204" t="s">
        <v>226</v>
      </c>
      <c r="B5" s="95" t="s">
        <v>148</v>
      </c>
      <c r="C5" s="203">
        <f>E6</f>
        <v>1.989E+30</v>
      </c>
      <c r="D5" s="206" t="s">
        <v>224</v>
      </c>
      <c r="E5" s="207"/>
      <c r="F5" s="208"/>
      <c r="G5" s="196" t="s">
        <v>49</v>
      </c>
    </row>
    <row r="6" spans="1:6" ht="13.5" thickBot="1">
      <c r="A6" s="200" t="s">
        <v>227</v>
      </c>
      <c r="B6" s="201" t="s">
        <v>81</v>
      </c>
      <c r="C6" s="202">
        <f>E7</f>
        <v>132717815100</v>
      </c>
      <c r="D6" s="190" t="s">
        <v>225</v>
      </c>
      <c r="E6" s="191">
        <f>VLOOKUP(G5,solar_bodies_alldata,8,FALSE)</f>
        <v>1.989E+30</v>
      </c>
      <c r="F6" s="192" t="s">
        <v>148</v>
      </c>
    </row>
    <row r="7" spans="1:6" ht="12.75">
      <c r="A7" s="210"/>
      <c r="B7" s="211"/>
      <c r="C7" s="212"/>
      <c r="D7" s="190" t="s">
        <v>84</v>
      </c>
      <c r="E7" s="191">
        <f>VLOOKUP(G5,solar_bodies_alldata,10,FALSE)</f>
        <v>132717815100</v>
      </c>
      <c r="F7" s="192" t="s">
        <v>81</v>
      </c>
    </row>
    <row r="8" spans="1:6" ht="12.75">
      <c r="A8" s="210"/>
      <c r="B8" s="211"/>
      <c r="C8" s="212"/>
      <c r="D8" s="75" t="s">
        <v>85</v>
      </c>
      <c r="E8" s="52">
        <f>VLOOKUP(G5,solar_bodies_alldata,9,FALSE)</f>
        <v>1.327178151E+20</v>
      </c>
      <c r="F8" s="76" t="s">
        <v>86</v>
      </c>
    </row>
    <row r="9" spans="1:6" ht="12.75">
      <c r="A9" s="210"/>
      <c r="B9" s="211"/>
      <c r="C9" s="212"/>
      <c r="D9" s="77" t="s">
        <v>21</v>
      </c>
      <c r="E9" s="52">
        <f>VLOOKUP(G5,solar_bodies_alldata,3,FALSE)</f>
        <v>696000</v>
      </c>
      <c r="F9" s="76" t="s">
        <v>82</v>
      </c>
    </row>
    <row r="10" spans="1:6" ht="13.5" thickBot="1">
      <c r="A10" s="213"/>
      <c r="B10" s="214"/>
      <c r="C10" s="215"/>
      <c r="D10" s="41" t="s">
        <v>229</v>
      </c>
      <c r="E10" s="78">
        <f>VLOOKUP(G5,solar_bodies_alldata,17,FALSE)</f>
        <v>0</v>
      </c>
      <c r="F10" s="42" t="s">
        <v>82</v>
      </c>
    </row>
    <row r="11" spans="1:6" ht="13.5" thickBot="1">
      <c r="A11" s="216"/>
      <c r="B11" s="185"/>
      <c r="C11" s="217"/>
      <c r="D11" s="189"/>
      <c r="E11" s="218"/>
      <c r="F11" s="185"/>
    </row>
    <row r="12" spans="1:7" ht="13.5" thickBot="1">
      <c r="A12" s="205" t="s">
        <v>152</v>
      </c>
      <c r="B12" s="205" t="s">
        <v>82</v>
      </c>
      <c r="C12" s="131">
        <v>185</v>
      </c>
      <c r="D12" s="206" t="s">
        <v>129</v>
      </c>
      <c r="E12" s="207"/>
      <c r="F12" s="208"/>
      <c r="G12" s="196" t="s">
        <v>13</v>
      </c>
    </row>
    <row r="13" spans="1:6" ht="12.75">
      <c r="A13" s="94"/>
      <c r="B13" s="95"/>
      <c r="C13" s="240"/>
      <c r="D13" s="45" t="s">
        <v>225</v>
      </c>
      <c r="E13" s="191">
        <f>VLOOKUP(G12,solar_bodies_alldata,8,FALSE)</f>
        <v>5.975E+24</v>
      </c>
      <c r="F13" s="192" t="s">
        <v>148</v>
      </c>
    </row>
    <row r="14" spans="1:6" ht="12.75">
      <c r="A14" s="198" t="s">
        <v>149</v>
      </c>
      <c r="B14" s="199" t="s">
        <v>148</v>
      </c>
      <c r="C14" s="241">
        <f>E13</f>
        <v>5.975E+24</v>
      </c>
      <c r="D14" s="45" t="s">
        <v>84</v>
      </c>
      <c r="E14" s="191">
        <f>VLOOKUP(G12,solar_bodies_alldata,10,FALSE)</f>
        <v>398687.2525</v>
      </c>
      <c r="F14" s="192" t="s">
        <v>81</v>
      </c>
    </row>
    <row r="15" spans="1:6" ht="12.75">
      <c r="A15" s="198" t="s">
        <v>150</v>
      </c>
      <c r="B15" s="199" t="s">
        <v>81</v>
      </c>
      <c r="C15" s="241">
        <f>E14</f>
        <v>398687.2525</v>
      </c>
      <c r="D15" s="238" t="s">
        <v>85</v>
      </c>
      <c r="E15" s="52">
        <f>VLOOKUP(G12,solar_bodies_alldata,9,FALSE)</f>
        <v>398687252500000</v>
      </c>
      <c r="F15" s="76" t="s">
        <v>86</v>
      </c>
    </row>
    <row r="16" spans="1:6" ht="12.75">
      <c r="A16" s="198" t="s">
        <v>151</v>
      </c>
      <c r="B16" s="199" t="s">
        <v>82</v>
      </c>
      <c r="C16" s="242">
        <f>E16</f>
        <v>6378.14</v>
      </c>
      <c r="D16" s="239" t="s">
        <v>21</v>
      </c>
      <c r="E16" s="52">
        <f>VLOOKUP(G12,solar_bodies_alldata,3,FALSE)</f>
        <v>6378.14</v>
      </c>
      <c r="F16" s="76" t="s">
        <v>82</v>
      </c>
    </row>
    <row r="17" spans="1:8" ht="13.5" thickBot="1">
      <c r="A17" s="200" t="s">
        <v>230</v>
      </c>
      <c r="B17" s="201" t="s">
        <v>82</v>
      </c>
      <c r="C17" s="241">
        <f>E17</f>
        <v>149600000</v>
      </c>
      <c r="D17" s="239" t="s">
        <v>228</v>
      </c>
      <c r="E17" s="52">
        <f>VLOOKUP(G12,solar_bodies_alldata,6,FALSE)</f>
        <v>149600000</v>
      </c>
      <c r="F17" s="76" t="s">
        <v>82</v>
      </c>
      <c r="G17" s="11">
        <f>E17*1000/0.3048/6076</f>
        <v>80779073.1227721</v>
      </c>
      <c r="H17" t="s">
        <v>298</v>
      </c>
    </row>
    <row r="18" spans="1:8" ht="13.5" thickBot="1">
      <c r="A18" s="193"/>
      <c r="B18" s="194"/>
      <c r="C18" s="195"/>
      <c r="D18" s="41" t="s">
        <v>229</v>
      </c>
      <c r="E18" s="78">
        <f>VLOOKUP(G12,solar_bodies_alldata,17,FALSE)</f>
        <v>924725.522008865</v>
      </c>
      <c r="F18" s="42" t="s">
        <v>82</v>
      </c>
      <c r="G18" s="11">
        <f>E18*1000/0.3048/6076</f>
        <v>499321.32727839367</v>
      </c>
      <c r="H18" t="s">
        <v>298</v>
      </c>
    </row>
    <row r="19" spans="1:4" ht="13.5" thickBot="1">
      <c r="A19" s="193"/>
      <c r="B19" s="194"/>
      <c r="C19" s="195"/>
      <c r="D19" s="50"/>
    </row>
    <row r="20" spans="1:7" ht="13.5" thickBot="1">
      <c r="A20" s="205" t="s">
        <v>156</v>
      </c>
      <c r="B20" s="205" t="s">
        <v>82</v>
      </c>
      <c r="C20" s="205">
        <v>300</v>
      </c>
      <c r="D20" s="206" t="s">
        <v>130</v>
      </c>
      <c r="E20" s="207"/>
      <c r="F20" s="208"/>
      <c r="G20" s="196" t="s">
        <v>53</v>
      </c>
    </row>
    <row r="21" spans="1:6" ht="13.5" thickBot="1">
      <c r="A21" s="205" t="s">
        <v>157</v>
      </c>
      <c r="B21" s="205" t="s">
        <v>68</v>
      </c>
      <c r="C21" s="131">
        <v>1</v>
      </c>
      <c r="D21" s="190" t="s">
        <v>225</v>
      </c>
      <c r="E21" s="191">
        <f>VLOOKUP(G20,solar_bodies_alldata,8,FALSE)</f>
        <v>6.441050000000001E+23</v>
      </c>
      <c r="F21" s="192" t="s">
        <v>148</v>
      </c>
    </row>
    <row r="22" spans="1:6" ht="12.75">
      <c r="A22" s="204" t="s">
        <v>153</v>
      </c>
      <c r="B22" s="95" t="s">
        <v>148</v>
      </c>
      <c r="C22" s="241">
        <f>E21</f>
        <v>6.441050000000001E+23</v>
      </c>
      <c r="D22" s="45" t="s">
        <v>84</v>
      </c>
      <c r="E22" s="191">
        <f>VLOOKUP(G20,solar_bodies_alldata,10,FALSE)</f>
        <v>42978.485819500005</v>
      </c>
      <c r="F22" s="192" t="s">
        <v>81</v>
      </c>
    </row>
    <row r="23" spans="1:6" ht="12.75">
      <c r="A23" s="198" t="s">
        <v>154</v>
      </c>
      <c r="B23" s="199" t="s">
        <v>81</v>
      </c>
      <c r="C23" s="241">
        <f>E22</f>
        <v>42978.485819500005</v>
      </c>
      <c r="D23" s="238" t="s">
        <v>85</v>
      </c>
      <c r="E23" s="52">
        <f>VLOOKUP(G20,solar_bodies_alldata,9,FALSE)</f>
        <v>42978485819500.01</v>
      </c>
      <c r="F23" s="76" t="s">
        <v>86</v>
      </c>
    </row>
    <row r="24" spans="1:6" ht="12.75">
      <c r="A24" s="198" t="s">
        <v>155</v>
      </c>
      <c r="B24" s="199" t="s">
        <v>82</v>
      </c>
      <c r="C24" s="243">
        <f>E24</f>
        <v>3393</v>
      </c>
      <c r="D24" s="239" t="s">
        <v>21</v>
      </c>
      <c r="E24" s="52">
        <f>VLOOKUP(G20,solar_bodies_alldata,3,FALSE)</f>
        <v>3393</v>
      </c>
      <c r="F24" s="76" t="s">
        <v>82</v>
      </c>
    </row>
    <row r="25" spans="1:8" ht="13.5" thickBot="1">
      <c r="A25" s="200" t="s">
        <v>230</v>
      </c>
      <c r="B25" s="201" t="s">
        <v>82</v>
      </c>
      <c r="C25" s="241">
        <f>E25</f>
        <v>227990400</v>
      </c>
      <c r="D25" s="239" t="s">
        <v>228</v>
      </c>
      <c r="E25" s="52">
        <f>VLOOKUP(G20,solar_bodies_alldata,6,FALSE)</f>
        <v>227990400</v>
      </c>
      <c r="F25" s="76" t="s">
        <v>82</v>
      </c>
      <c r="G25" s="11">
        <f>E25*1000/0.3048/6076</f>
        <v>123107307.43910468</v>
      </c>
      <c r="H25" t="s">
        <v>298</v>
      </c>
    </row>
    <row r="26" spans="1:8" ht="13.5" thickBot="1">
      <c r="A26" s="200" t="s">
        <v>237</v>
      </c>
      <c r="B26" s="201" t="s">
        <v>238</v>
      </c>
      <c r="C26" s="237">
        <f>Period_arrival_input_days*24</f>
        <v>24</v>
      </c>
      <c r="D26" s="236" t="s">
        <v>229</v>
      </c>
      <c r="E26" s="78">
        <f>VLOOKUP(G20,solar_bodies_alldata,17,FALSE)</f>
        <v>578156.3706709248</v>
      </c>
      <c r="F26" s="42" t="s">
        <v>82</v>
      </c>
      <c r="G26" s="11">
        <f>E26*1000/0.3048/6076</f>
        <v>312185.3993504222</v>
      </c>
      <c r="H26" t="s">
        <v>298</v>
      </c>
    </row>
    <row r="27" ht="12.75">
      <c r="D27" s="50"/>
    </row>
    <row r="28" ht="12.75">
      <c r="D28" s="50"/>
    </row>
    <row r="29" ht="12.75">
      <c r="D29" s="50"/>
    </row>
    <row r="30" spans="1:3" ht="16.5" thickBot="1">
      <c r="A30" s="132" t="s">
        <v>158</v>
      </c>
      <c r="B30" s="133"/>
      <c r="C30" s="134" t="s">
        <v>159</v>
      </c>
    </row>
    <row r="31" spans="1:5" ht="18.75" customHeight="1" thickBot="1" thickTop="1">
      <c r="A31" s="135" t="s">
        <v>160</v>
      </c>
      <c r="B31" s="37"/>
      <c r="C31" s="37"/>
      <c r="D31" s="129"/>
      <c r="E31" s="129"/>
    </row>
    <row r="32" spans="1:8" ht="12.75">
      <c r="A32" s="136" t="s">
        <v>161</v>
      </c>
      <c r="B32" s="137" t="s">
        <v>82</v>
      </c>
      <c r="C32" s="138">
        <f>Radius_DepartPlanet_to_Sun_km+Radius_ArrivalPlanet_to_Sun_km</f>
        <v>377590400</v>
      </c>
      <c r="D32" s="139" t="s">
        <v>231</v>
      </c>
      <c r="E32" s="140" t="s">
        <v>232</v>
      </c>
      <c r="H32" t="s">
        <v>131</v>
      </c>
    </row>
    <row r="33" spans="1:8" ht="13.5" thickBot="1">
      <c r="A33" s="141" t="s">
        <v>162</v>
      </c>
      <c r="B33" s="142" t="s">
        <v>82</v>
      </c>
      <c r="C33" s="143">
        <f>majoraxis_transfer_orbit_km/2</f>
        <v>188795200</v>
      </c>
      <c r="D33" t="s">
        <v>163</v>
      </c>
      <c r="G33" t="s">
        <v>12</v>
      </c>
      <c r="H33" s="79">
        <v>43724</v>
      </c>
    </row>
    <row r="34" spans="1:8" ht="13.5" thickBot="1">
      <c r="A34" s="144" t="s">
        <v>164</v>
      </c>
      <c r="B34" s="145"/>
      <c r="C34" s="146">
        <f>IF(Radius_ArrivalPlanet_to_Sun_km&gt;Radius_DepartPlanet_to_Sun_km,(Radius_ArrivalPlanet_to_Sun_km-Radius_DepartPlanet_to_Sun_km)/majoraxis_transfer_orbit_km,(Radius_DepartPlanet_to_Sun_km-Radius_ArrivalPlanet_to_Sun_km)/majoraxis_transfer_orbit_km)</f>
        <v>0.2076069730586371</v>
      </c>
      <c r="D34" s="147">
        <f>((1-eccentricity_transfer_orbit)/(1+eccentricity_transfer_orbit))</f>
        <v>0.6561679790026246</v>
      </c>
      <c r="E34" s="148">
        <f>((1+eccentricity_transfer_orbit)/(1-eccentricity_transfer_orbit))</f>
        <v>1.524</v>
      </c>
      <c r="G34" t="s">
        <v>11</v>
      </c>
      <c r="H34" s="79">
        <v>42726</v>
      </c>
    </row>
    <row r="35" spans="1:9" ht="13.5" thickBot="1">
      <c r="A35" s="149" t="s">
        <v>165</v>
      </c>
      <c r="B35" s="150" t="s">
        <v>166</v>
      </c>
      <c r="C35" s="151">
        <f>IF(Radius_DepartPlanet_to_Sun_km&gt;Radius_ArrivalPlanet_to_Sun_km,SQRT((MU_SUN_km_3_s_2/semimajor_transfer_orbit_km)*ApoHelion),SQRT((MU_SUN_km_3_s_2/semimajor_transfer_orbit_km)*PeriHelion))</f>
        <v>32.731176874625824</v>
      </c>
      <c r="D35" t="str">
        <f>G12</f>
        <v>Earth</v>
      </c>
      <c r="E35" s="152" t="str">
        <f>IF(Radius_DepartPlanet_to_Sun_km&gt;Radius_ArrivalPlanet_to_Sun_km,"APOHELION","PERIHELION")</f>
        <v>PERIHELION</v>
      </c>
      <c r="H35" s="209">
        <f>H33-H34</f>
        <v>998</v>
      </c>
      <c r="I35" t="s">
        <v>15</v>
      </c>
    </row>
    <row r="36" spans="1:9" ht="12.75">
      <c r="A36" s="25" t="s">
        <v>233</v>
      </c>
      <c r="B36" s="153" t="s">
        <v>166</v>
      </c>
      <c r="C36" s="154">
        <f>SQRT(MU_SUN_km_3_s_2/Radius_DepartPlanet_to_Sun_km)</f>
        <v>29.785083019097755</v>
      </c>
      <c r="D36" t="str">
        <f>G12</f>
        <v>Earth</v>
      </c>
      <c r="H36" s="209">
        <f>H35/365</f>
        <v>2.734246575342466</v>
      </c>
      <c r="I36" t="s">
        <v>16</v>
      </c>
    </row>
    <row r="37" spans="1:4" ht="13.5" thickBot="1">
      <c r="A37" s="155" t="s">
        <v>167</v>
      </c>
      <c r="B37" s="153" t="s">
        <v>166</v>
      </c>
      <c r="C37" s="156">
        <f>ABS(Vp_transfer_orbit_km_sec-V_depart_around_sun_km_sec)</f>
        <v>2.946093855528069</v>
      </c>
      <c r="D37" t="str">
        <f>G12</f>
        <v>Earth</v>
      </c>
    </row>
    <row r="38" spans="1:5" ht="13.5" thickBot="1">
      <c r="A38" s="149" t="s">
        <v>168</v>
      </c>
      <c r="B38" s="150" t="s">
        <v>166</v>
      </c>
      <c r="C38" s="151">
        <f>IF(Radius_DepartPlanet_to_Sun_km&gt;Radius_ArrivalPlanet_to_Sun_km,SQRT((MU_SUN_km_3_s_2/semimajor_transfer_orbit_km)*PeriHelion),SQRT((MU_SUN_km_3_s_2/semimajor_transfer_orbit_km)*ApoHelion))</f>
        <v>21.477150180200674</v>
      </c>
      <c r="D38" s="50" t="str">
        <f>G20</f>
        <v>Mars</v>
      </c>
      <c r="E38" s="152" t="str">
        <f>IF(Radius_DepartPlanet_to_Sun_km&gt;Radius_ArrivalPlanet_to_Sun_km,"PERIHELION","APOHELION")</f>
        <v>APOHELION</v>
      </c>
    </row>
    <row r="39" spans="1:4" ht="12">
      <c r="A39" s="25" t="s">
        <v>234</v>
      </c>
      <c r="B39" s="153" t="s">
        <v>166</v>
      </c>
      <c r="C39" s="154">
        <f>SQRT(MU_SUN_km_3_s_2/Radius_ArrivalPlanet_to_Sun_km)</f>
        <v>24.12716706509432</v>
      </c>
      <c r="D39" s="50" t="str">
        <f>G20</f>
        <v>Mars</v>
      </c>
    </row>
    <row r="40" spans="1:4" ht="12">
      <c r="A40" s="155" t="s">
        <v>169</v>
      </c>
      <c r="B40" s="153" t="s">
        <v>166</v>
      </c>
      <c r="C40" s="156">
        <f>ABS(V_arriv_around_sun_km_sec-Va_transfer_orbit_km_sec)</f>
        <v>2.6500168848936454</v>
      </c>
      <c r="D40" s="50" t="str">
        <f>G20</f>
        <v>Mars</v>
      </c>
    </row>
    <row r="41" spans="1:7" ht="12.75" thickBot="1">
      <c r="A41" s="136" t="s">
        <v>170</v>
      </c>
      <c r="B41" s="157" t="s">
        <v>68</v>
      </c>
      <c r="C41" s="158">
        <f>(PI()*SQRT(semimajor_transfer_orbit_km^3/MU_SUN_km_3_s_2))/86400</f>
        <v>258.9154349460169</v>
      </c>
      <c r="F41">
        <f>TOF_outbound_days/365</f>
        <v>0.7093573560164846</v>
      </c>
      <c r="G41" t="s">
        <v>16</v>
      </c>
    </row>
    <row r="42" spans="1:3" ht="12">
      <c r="A42" s="344" t="s">
        <v>171</v>
      </c>
      <c r="B42" s="345"/>
      <c r="C42" s="346"/>
    </row>
    <row r="43" spans="1:3" ht="12.75" thickBot="1">
      <c r="A43" s="159" t="s">
        <v>172</v>
      </c>
      <c r="B43" s="160" t="s">
        <v>68</v>
      </c>
      <c r="C43" s="161">
        <f>TOF_outbound_days-C63-C84</f>
        <v>253.33531960657226</v>
      </c>
    </row>
    <row r="44" spans="1:6" ht="12.75" thickBot="1">
      <c r="A44" s="162"/>
      <c r="B44" s="163"/>
      <c r="C44" s="164"/>
      <c r="E44" s="330" t="s">
        <v>289</v>
      </c>
      <c r="F44" s="330" t="s">
        <v>290</v>
      </c>
    </row>
    <row r="45" spans="1:6" ht="15.75" thickBot="1">
      <c r="A45" s="165" t="s">
        <v>173</v>
      </c>
      <c r="B45" s="97"/>
      <c r="C45" s="166" t="s">
        <v>174</v>
      </c>
      <c r="D45" s="331" t="s">
        <v>288</v>
      </c>
      <c r="E45" s="330"/>
      <c r="F45" s="330"/>
    </row>
    <row r="46" spans="1:4" ht="12">
      <c r="A46" s="135" t="s">
        <v>160</v>
      </c>
      <c r="B46" s="37"/>
      <c r="C46" s="37"/>
      <c r="D46" s="331"/>
    </row>
    <row r="47" spans="1:7" ht="12">
      <c r="A47" t="s">
        <v>175</v>
      </c>
      <c r="B47" s="37" t="s">
        <v>166</v>
      </c>
      <c r="C47" s="332">
        <f>SQRT(Mu_departure_km_3_s_2/(R_depart_km+Horbit_depart_km))</f>
        <v>7.7939989104373035</v>
      </c>
      <c r="D47" s="333" t="s">
        <v>291</v>
      </c>
      <c r="F47">
        <f>Vcirc_depart_km_sec*1000/0.3048</f>
        <v>25570.862567051518</v>
      </c>
      <c r="G47" t="s">
        <v>284</v>
      </c>
    </row>
    <row r="48" spans="1:7" ht="12.75" thickBot="1">
      <c r="A48" t="s">
        <v>176</v>
      </c>
      <c r="B48" s="37" t="s">
        <v>166</v>
      </c>
      <c r="C48" s="167">
        <f>SQRT(2*Mu_departure_km_3_s_2/(R_depart_km+Horbit_depart_km))</f>
        <v>11.022378964261561</v>
      </c>
      <c r="F48">
        <f>Vescp_depart_km_sec*1000/0.3048</f>
        <v>36162.66064390276</v>
      </c>
      <c r="G48" t="s">
        <v>284</v>
      </c>
    </row>
    <row r="49" spans="1:7" ht="12.75" thickBot="1">
      <c r="A49" t="s">
        <v>177</v>
      </c>
      <c r="B49" s="37" t="s">
        <v>166</v>
      </c>
      <c r="C49" s="167">
        <f>SQRT(Vescp_depart_km_sec^2+Vhyp_excess_depart_km_sec^2)</f>
        <v>11.409307912287057</v>
      </c>
      <c r="D49" s="221" t="s">
        <v>235</v>
      </c>
      <c r="F49">
        <f>Vburnout_depart_km_sec*1000/0.3048</f>
        <v>37432.11257312026</v>
      </c>
      <c r="G49" t="s">
        <v>284</v>
      </c>
    </row>
    <row r="50" spans="1:4" ht="12.75" thickBot="1">
      <c r="A50" s="168" t="s">
        <v>178</v>
      </c>
      <c r="B50" s="169" t="s">
        <v>166</v>
      </c>
      <c r="C50" s="219">
        <f>Vburnout_depart_km_sec-Vcirc_depart_km_sec</f>
        <v>3.615309001849753</v>
      </c>
      <c r="D50" s="220">
        <f>Vburnout_depart_km_sec^2-Vescp_depart_km_sec^2</f>
        <v>8.679469005580273</v>
      </c>
    </row>
    <row r="51" spans="1:3" ht="12">
      <c r="A51" s="155" t="s">
        <v>179</v>
      </c>
      <c r="C51" s="171"/>
    </row>
    <row r="52" spans="1:3" ht="12">
      <c r="A52" t="s">
        <v>180</v>
      </c>
      <c r="B52" s="37" t="s">
        <v>82</v>
      </c>
      <c r="C52" s="37">
        <f>R_depart_km+Horbit_depart_km</f>
        <v>6563.14</v>
      </c>
    </row>
    <row r="53" spans="1:3" ht="12">
      <c r="A53" t="s">
        <v>181</v>
      </c>
      <c r="B53" s="37" t="s">
        <v>82</v>
      </c>
      <c r="C53" s="172">
        <f>-1*(1/((Vburnout_depart_km_sec^2/Mu_departure_km_3_s_2)-(2/RpH_depart_km)))</f>
        <v>-45934.521137603195</v>
      </c>
    </row>
    <row r="54" spans="1:3" ht="12">
      <c r="A54" s="16" t="s">
        <v>182</v>
      </c>
      <c r="B54" s="37"/>
      <c r="C54" s="37">
        <f>1-RpH_depart_km/semimajor_hyperbolic_depart_pt_km</f>
        <v>1.1428803400461978</v>
      </c>
    </row>
    <row r="55" spans="1:3" ht="12">
      <c r="A55" t="s">
        <v>183</v>
      </c>
      <c r="B55" s="37" t="s">
        <v>184</v>
      </c>
      <c r="C55" s="173">
        <f>ATAN(Eccentricity_hyperbolic_depart^2-1)*180/PI()</f>
        <v>17.02330324755214</v>
      </c>
    </row>
    <row r="56" spans="1:3" ht="12">
      <c r="A56" t="s">
        <v>185</v>
      </c>
      <c r="B56" s="37" t="s">
        <v>82</v>
      </c>
      <c r="C56" s="37">
        <f>Radius_DepartPlanet_to_Sun_km*(Mass_depart_kg/Mass_SUN_kg)^0.4</f>
        <v>924725.522008865</v>
      </c>
    </row>
    <row r="57" spans="1:3" ht="12">
      <c r="A57" t="s">
        <v>186</v>
      </c>
      <c r="B57" s="37" t="s">
        <v>82</v>
      </c>
      <c r="C57" s="172">
        <f>semimajor_hyperbolic_depart_pt_km*(1-Eccentricity_hyperbolic_depart^2)</f>
        <v>14064.023674970804</v>
      </c>
    </row>
    <row r="58" spans="1:3" ht="12">
      <c r="A58" t="s">
        <v>187</v>
      </c>
      <c r="B58" s="37" t="s">
        <v>184</v>
      </c>
      <c r="C58" s="174">
        <f>ACOS((1/Eccentricity_hyperbolic_depart)*(Parameter_hyper_depart_km/Rsoi_depart_km-1))*180/PI()</f>
        <v>149.5051475524631</v>
      </c>
    </row>
    <row r="59" spans="1:3" ht="12">
      <c r="A59" t="s">
        <v>188</v>
      </c>
      <c r="B59" s="37" t="s">
        <v>189</v>
      </c>
      <c r="C59" s="173">
        <f>ACOSH((semimajor_hyperbolic_depart_pt_km*Eccentricity_hyperbolic_depart+Rsoi_depart_km*COS(PI()/180*TrueAnomaly_hyperbolic_depart_degrees))/semimajor_hyperbolic_depart_pt_km)</f>
        <v>3.6096227719592218</v>
      </c>
    </row>
    <row r="60" spans="1:3" ht="12">
      <c r="A60" t="s">
        <v>190</v>
      </c>
      <c r="B60" s="37" t="s">
        <v>189</v>
      </c>
      <c r="C60" s="173">
        <f>Eccentricity_hyperbolic_depart*SINH(Hyper_anomaly_depart_radians)-Hyper_anomaly_depart_radians</f>
        <v>17.490833369257636</v>
      </c>
    </row>
    <row r="61" spans="1:3" ht="12">
      <c r="A61" t="s">
        <v>191</v>
      </c>
      <c r="B61" s="37" t="s">
        <v>192</v>
      </c>
      <c r="C61" s="175">
        <f>SQRT(Mu_departure_km_3_s_2/(-1*semimajor_hyperbolic_depart_pt_km^3))</f>
        <v>6.413681437328252E-05</v>
      </c>
    </row>
    <row r="62" spans="1:3" ht="12">
      <c r="A62" s="136" t="s">
        <v>193</v>
      </c>
      <c r="B62" s="137" t="s">
        <v>123</v>
      </c>
      <c r="C62" s="176">
        <f>Mean_anomaly_hyper_depart_radians/Mean_motion_hyper_depart_radians_sec</f>
        <v>272711.2897665805</v>
      </c>
    </row>
    <row r="63" spans="1:3" ht="12">
      <c r="A63" s="141"/>
      <c r="B63" s="177" t="s">
        <v>68</v>
      </c>
      <c r="C63" s="178">
        <f>TOF_to_hyper_depart_sec/86400</f>
        <v>3.156380668594682</v>
      </c>
    </row>
    <row r="64" ht="12.75" thickBot="1"/>
    <row r="65" spans="1:3" ht="15.75" thickBot="1">
      <c r="A65" s="165" t="s">
        <v>194</v>
      </c>
      <c r="B65" s="97"/>
      <c r="C65" s="166" t="s">
        <v>195</v>
      </c>
    </row>
    <row r="66" spans="1:3" ht="12">
      <c r="A66" s="135" t="s">
        <v>160</v>
      </c>
      <c r="B66" s="37"/>
      <c r="C66" s="37"/>
    </row>
    <row r="67" spans="1:3" ht="12">
      <c r="A67" t="s">
        <v>196</v>
      </c>
      <c r="B67" s="37" t="s">
        <v>166</v>
      </c>
      <c r="C67" s="167">
        <f>SQRT(Mu_arrival_km_3_s_2/(R_arrival_km+Horbit_arrival_km))</f>
        <v>3.4114255794350594</v>
      </c>
    </row>
    <row r="68" spans="1:3" ht="12.75" thickBot="1">
      <c r="A68" t="s">
        <v>197</v>
      </c>
      <c r="B68" s="37" t="s">
        <v>166</v>
      </c>
      <c r="C68" s="167">
        <f>SQRT(2*Mu_arrival_km_3_s_2/(R_arrival_km+Horbit_arrival_km))</f>
        <v>4.824484321463555</v>
      </c>
    </row>
    <row r="69" spans="1:4" ht="12.75" thickBot="1">
      <c r="A69" s="179" t="s">
        <v>198</v>
      </c>
      <c r="B69" s="180" t="s">
        <v>166</v>
      </c>
      <c r="C69" s="181">
        <f>Vhyp_excess_arriv_km_sec</f>
        <v>2.6500168848936454</v>
      </c>
      <c r="D69" s="221" t="s">
        <v>235</v>
      </c>
    </row>
    <row r="70" spans="1:4" ht="12.75" thickBot="1">
      <c r="A70" t="s">
        <v>177</v>
      </c>
      <c r="B70" s="37" t="s">
        <v>166</v>
      </c>
      <c r="C70" s="167">
        <f>SQRT(Vescp_arrival_km_sec^2+Vhyp_excess_arriv_km_sec^2)</f>
        <v>5.504383567509543</v>
      </c>
      <c r="D70" s="220">
        <f>Vburnout_arrival_km_sec^2-Vescp_arrival_km_sec^2</f>
        <v>7.022589490221424</v>
      </c>
    </row>
    <row r="71" spans="1:3" ht="12.75" thickBot="1">
      <c r="A71" s="168" t="s">
        <v>199</v>
      </c>
      <c r="B71" s="169" t="s">
        <v>166</v>
      </c>
      <c r="C71" s="170">
        <f>Vburnout_arrival_km_sec-Vcirc_arrival_km_sec</f>
        <v>2.0929579880744837</v>
      </c>
    </row>
    <row r="72" spans="1:3" ht="12">
      <c r="A72" s="155" t="s">
        <v>200</v>
      </c>
      <c r="C72" s="171"/>
    </row>
    <row r="73" spans="1:3" ht="12">
      <c r="A73" t="s">
        <v>201</v>
      </c>
      <c r="B73" s="37" t="s">
        <v>82</v>
      </c>
      <c r="C73" s="37">
        <f>R_arrival_km+Horbit_arrival_km</f>
        <v>3693</v>
      </c>
    </row>
    <row r="74" spans="1:3" ht="12">
      <c r="A74" t="s">
        <v>181</v>
      </c>
      <c r="B74" s="37" t="s">
        <v>82</v>
      </c>
      <c r="C74" s="182">
        <f>-1*(1/((Vburnout_arrival_km_sec^2/Mu_arrival_km_3_s_2)-(2/RpH_arrival_km)))</f>
        <v>-6120.033910474933</v>
      </c>
    </row>
    <row r="75" spans="1:3" ht="12">
      <c r="A75" s="16" t="s">
        <v>182</v>
      </c>
      <c r="B75" s="37"/>
      <c r="C75" s="37">
        <f>1-RpH_arrival_km/C74</f>
        <v>1.6034280289981941</v>
      </c>
    </row>
    <row r="76" spans="1:3" ht="12">
      <c r="A76" t="s">
        <v>202</v>
      </c>
      <c r="B76" s="183" t="s">
        <v>184</v>
      </c>
      <c r="C76" s="173">
        <f>ATAN(Eccentricity_hyperbolic_arrival^2-1)*180/PI()</f>
        <v>57.5214220562768</v>
      </c>
    </row>
    <row r="77" spans="1:3" ht="12">
      <c r="A77" t="s">
        <v>203</v>
      </c>
      <c r="B77" s="37" t="s">
        <v>82</v>
      </c>
      <c r="C77" s="184">
        <f>Radius_ArrivalPlanet_to_Sun_km*(Mass_arrivalPlanet_kg/Mass_SUN_kg)^0.4</f>
        <v>578156.3706709248</v>
      </c>
    </row>
    <row r="78" spans="1:3" ht="12">
      <c r="A78" t="s">
        <v>204</v>
      </c>
      <c r="B78" s="37" t="s">
        <v>82</v>
      </c>
      <c r="C78" s="172">
        <f>semimajor_hyperbolic_arrival_pt_km*(1-Eccentricity_hyperbolic_arrival^2)</f>
        <v>9614.459711090329</v>
      </c>
    </row>
    <row r="79" spans="1:3" ht="12">
      <c r="A79" t="s">
        <v>205</v>
      </c>
      <c r="B79" s="183" t="s">
        <v>184</v>
      </c>
      <c r="C79" s="174">
        <f>ACOS((1/Eccentricity_hyperbolic_arrival)*(Parameter_hyper_arrival_km/Rsoi_arrival_km-1))*180/PI()</f>
        <v>127.82795937879209</v>
      </c>
    </row>
    <row r="80" spans="1:3" ht="12">
      <c r="A80" t="s">
        <v>206</v>
      </c>
      <c r="B80" s="37" t="s">
        <v>189</v>
      </c>
      <c r="C80" s="173">
        <f>ACOSH((semimajor_hyperbolic_arrival_pt_km*Eccentricity_hyperbolic_arrival+Rsoi_arrival_km*COS(PI()/180*TrueAnomaly_hyperbolic_arrival_degrees))/semimajor_hyperbolic_arrival_pt_km)</f>
        <v>4.7797393269761</v>
      </c>
    </row>
    <row r="81" spans="1:3" ht="12">
      <c r="A81" t="s">
        <v>207</v>
      </c>
      <c r="B81" s="37" t="s">
        <v>189</v>
      </c>
      <c r="C81" s="173">
        <f>Eccentricity_hyperbolic_arrival*SINH(Hyper_anomaly_arrival_radians)-Hyper_anomaly_arrival_radians</f>
        <v>90.67626654240577</v>
      </c>
    </row>
    <row r="82" spans="1:3" ht="12">
      <c r="A82" t="s">
        <v>208</v>
      </c>
      <c r="B82" s="37" t="s">
        <v>192</v>
      </c>
      <c r="C82" s="175">
        <f>SQRT(Mu_arrival_km_3_s_2/(-1*semimajor_hyperbolic_arrival_pt_km^3))</f>
        <v>0.00043300689565754346</v>
      </c>
    </row>
    <row r="83" spans="1:3" ht="12">
      <c r="A83" s="136" t="s">
        <v>209</v>
      </c>
      <c r="B83" s="137" t="s">
        <v>123</v>
      </c>
      <c r="C83" s="176">
        <f>Mean_anomaly_hyper_arrival_radians/Hyper_Mean_motion_Arrival_radians_sec</f>
        <v>209410.67556143453</v>
      </c>
    </row>
    <row r="84" spans="1:3" ht="12">
      <c r="A84" s="141"/>
      <c r="B84" s="177" t="s">
        <v>68</v>
      </c>
      <c r="C84" s="178">
        <f>TOF_to_hyper_arrival_sec/86400</f>
        <v>2.4237346708499365</v>
      </c>
    </row>
    <row r="85" spans="1:3" ht="12.75" thickBot="1">
      <c r="A85" s="185"/>
      <c r="B85" s="185"/>
      <c r="C85" s="186"/>
    </row>
    <row r="86" spans="1:3" ht="15.75" thickBot="1">
      <c r="A86" s="165" t="s">
        <v>210</v>
      </c>
      <c r="B86" s="97"/>
      <c r="C86" s="166" t="s">
        <v>211</v>
      </c>
    </row>
    <row r="87" spans="1:3" ht="24">
      <c r="A87" s="135" t="s">
        <v>212</v>
      </c>
      <c r="B87" s="37"/>
      <c r="C87" s="37"/>
    </row>
    <row r="88" spans="1:3" ht="12.75" thickBot="1">
      <c r="A88" s="106" t="s">
        <v>213</v>
      </c>
      <c r="B88" s="223" t="s">
        <v>82</v>
      </c>
      <c r="C88" s="232">
        <f>((Period_arrival_input_days*86400)^2*Mu_arrival_km_3_s_2/(4*PI()^2))^(1/3)</f>
        <v>20105.10225738217</v>
      </c>
    </row>
    <row r="89" spans="1:4" ht="12">
      <c r="A89" s="61" t="s">
        <v>214</v>
      </c>
      <c r="B89" s="43" t="s">
        <v>82</v>
      </c>
      <c r="C89" s="233">
        <f>R_arrival_km+Horbit_arrival_km</f>
        <v>3693</v>
      </c>
      <c r="D89" s="119">
        <f>RpH_arrival_NonCirc_km-R_arrival_km</f>
        <v>300</v>
      </c>
    </row>
    <row r="90" spans="1:4" ht="12.75" thickBot="1">
      <c r="A90" s="61" t="s">
        <v>215</v>
      </c>
      <c r="B90" s="43" t="s">
        <v>82</v>
      </c>
      <c r="C90" s="227">
        <f>2*semimajor_arrival_Noncirc_km-RpH_arrival_NonCirc_km</f>
        <v>36517.20451476434</v>
      </c>
      <c r="D90" s="226">
        <f>RaH_arrival_NonCirc_km-R_arrival_km</f>
        <v>33124.20451476434</v>
      </c>
    </row>
    <row r="91" spans="1:3" ht="12">
      <c r="A91" s="228" t="s">
        <v>216</v>
      </c>
      <c r="B91" s="197"/>
      <c r="C91" s="229">
        <f>(RaH_arrival_NonCirc_km-RpH_arrival_NonCirc_km)/(2*semimajor_arrival_Noncirc_km)</f>
        <v>0.8163152839153549</v>
      </c>
    </row>
    <row r="92" spans="1:3" ht="12">
      <c r="A92" s="106" t="s">
        <v>217</v>
      </c>
      <c r="B92" s="223" t="s">
        <v>166</v>
      </c>
      <c r="C92" s="230">
        <f>SQRT((Mu_arrival_km_3_s_2/semimajor_arrival_Noncirc_km)*((1+Eccentricity_arrival_Noncirc)/(1-Eccentricity_arrival_Noncirc)))</f>
        <v>4.5976035585788395</v>
      </c>
    </row>
    <row r="93" spans="1:3" ht="12">
      <c r="A93" s="224" t="s">
        <v>197</v>
      </c>
      <c r="B93" s="43" t="s">
        <v>166</v>
      </c>
      <c r="C93" s="231">
        <f>SQRT(2)*Vp_arrival_Noncirc_km_sec</f>
        <v>6.501993306957</v>
      </c>
    </row>
    <row r="94" spans="1:3" ht="12.75" thickBot="1">
      <c r="A94" s="65" t="s">
        <v>218</v>
      </c>
      <c r="B94" s="197" t="s">
        <v>166</v>
      </c>
      <c r="C94" s="225">
        <f>SQRT((Mu_arrival_km_3_s_2/semimajor_arrival_Noncirc_km)*((1-Eccentricity_arrival_Noncirc)/(1+Eccentricity_arrival_Noncirc)))</f>
        <v>0.46495754993969673</v>
      </c>
    </row>
    <row r="95" spans="1:4" ht="12.75" thickBot="1">
      <c r="A95" s="187" t="s">
        <v>198</v>
      </c>
      <c r="B95" s="188" t="s">
        <v>166</v>
      </c>
      <c r="C95" s="234">
        <f>Vhyp_excess_arriv_km_sec</f>
        <v>2.6500168848936454</v>
      </c>
      <c r="D95" s="221" t="s">
        <v>235</v>
      </c>
    </row>
    <row r="96" spans="1:4" ht="12.75" thickBot="1">
      <c r="A96" s="187" t="s">
        <v>177</v>
      </c>
      <c r="B96" s="188" t="s">
        <v>166</v>
      </c>
      <c r="C96" s="235">
        <f>Vburnout_arrival_km_sec</f>
        <v>5.504383567509543</v>
      </c>
      <c r="D96" s="220">
        <f>Vburnout_arrival_ncTransfer_km_sec^2-C93^2</f>
        <v>-11.97767850544454</v>
      </c>
    </row>
    <row r="97" spans="1:3" ht="12.75" thickBot="1">
      <c r="A97" s="168" t="s">
        <v>219</v>
      </c>
      <c r="B97" s="169" t="s">
        <v>166</v>
      </c>
      <c r="C97" s="170">
        <f>ABS(Vp_arrival_Noncirc_km_sec-Vburnout_arrival_ncTransfer_km_sec)</f>
        <v>0.9067800089307037</v>
      </c>
    </row>
    <row r="98" ht="12.75" thickBot="1"/>
    <row r="99" spans="1:3" ht="12.75" thickBot="1">
      <c r="A99" s="168" t="s">
        <v>220</v>
      </c>
      <c r="B99" s="169" t="s">
        <v>166</v>
      </c>
      <c r="C99" s="170">
        <f>DelyaV_departure_km_sec+Delta_V_arrival_km_sec</f>
        <v>5.708266989924237</v>
      </c>
    </row>
    <row r="100" spans="1:3" ht="12.75" thickBot="1">
      <c r="A100" s="168" t="s">
        <v>221</v>
      </c>
      <c r="B100" s="169" t="s">
        <v>166</v>
      </c>
      <c r="C100" s="170">
        <f>DelyaV_departure_km_sec+ABS(Delta_V_arrival_NonCircArrival_km_sec)</f>
        <v>4.522089010780457</v>
      </c>
    </row>
  </sheetData>
  <sheetProtection/>
  <mergeCells count="1">
    <mergeCell ref="A42:C42"/>
  </mergeCells>
  <printOptions/>
  <pageMargins left="0.38" right="0.26" top="0.5" bottom="0.4" header="0.34" footer="0.19"/>
  <pageSetup fitToHeight="1" fitToWidth="1" horizontalDpi="300" verticalDpi="300" orientation="landscape" scale="41"/>
  <headerFooter alignWithMargins="0">
    <oddHeader>&amp;CPratt &amp;&amp; Whitney</oddHeader>
    <oddFooter>&amp;LR Joyner&amp;C&amp;F
&amp;A&amp;R&amp;D
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0"/>
  <sheetViews>
    <sheetView zoomScale="75" zoomScaleNormal="75" workbookViewId="0" topLeftCell="A1">
      <selection activeCell="D32" sqref="D32"/>
    </sheetView>
  </sheetViews>
  <sheetFormatPr defaultColWidth="8.8515625" defaultRowHeight="12.75"/>
  <cols>
    <col min="1" max="1" width="67.7109375" style="0" customWidth="1"/>
    <col min="2" max="2" width="15.8515625" style="0" customWidth="1"/>
    <col min="3" max="3" width="15.140625" style="0" customWidth="1"/>
    <col min="4" max="4" width="14.421875" style="0" customWidth="1"/>
    <col min="5" max="5" width="11.8515625" style="0" customWidth="1"/>
    <col min="6" max="7" width="8.8515625" style="0" customWidth="1"/>
    <col min="8" max="9" width="10.140625" style="5" customWidth="1"/>
    <col min="10" max="10" width="8.421875" style="5" customWidth="1"/>
  </cols>
  <sheetData>
    <row r="1" ht="12">
      <c r="A1" s="12" t="s">
        <v>242</v>
      </c>
    </row>
    <row r="2" ht="7.5" customHeight="1"/>
    <row r="3" spans="1:7" ht="12.75" customHeight="1">
      <c r="A3" s="155" t="s">
        <v>243</v>
      </c>
      <c r="C3" s="16" t="s">
        <v>244</v>
      </c>
      <c r="E3" s="29"/>
      <c r="F3" s="257"/>
      <c r="G3" s="29"/>
    </row>
    <row r="4" spans="1:7" ht="12.75">
      <c r="A4" s="258" t="s">
        <v>245</v>
      </c>
      <c r="B4" s="259" t="s">
        <v>81</v>
      </c>
      <c r="C4" s="260">
        <f>E6</f>
        <v>398687.2525</v>
      </c>
      <c r="D4" s="206" t="s">
        <v>224</v>
      </c>
      <c r="E4" s="207"/>
      <c r="F4" s="208"/>
      <c r="G4" s="196" t="s">
        <v>13</v>
      </c>
    </row>
    <row r="5" spans="1:6" ht="12.75">
      <c r="A5" s="261" t="s">
        <v>246</v>
      </c>
      <c r="B5" s="262" t="s">
        <v>82</v>
      </c>
      <c r="C5" s="329">
        <f>E8</f>
        <v>6378.14</v>
      </c>
      <c r="D5" s="190" t="s">
        <v>225</v>
      </c>
      <c r="E5" s="191">
        <f>VLOOKUP(G4,solar_bodies_alldata,8,FALSE)</f>
        <v>5.975E+24</v>
      </c>
      <c r="F5" s="192" t="s">
        <v>148</v>
      </c>
    </row>
    <row r="6" spans="1:6" ht="12.75">
      <c r="A6" s="327"/>
      <c r="B6" s="130"/>
      <c r="C6" s="328"/>
      <c r="D6" s="190" t="s">
        <v>84</v>
      </c>
      <c r="E6" s="191">
        <f>VLOOKUP(G4,solar_bodies_alldata,10,FALSE)</f>
        <v>398687.2525</v>
      </c>
      <c r="F6" s="192" t="s">
        <v>81</v>
      </c>
    </row>
    <row r="7" spans="1:6" ht="12">
      <c r="A7" s="327"/>
      <c r="B7" s="130"/>
      <c r="C7" s="328"/>
      <c r="D7" s="75" t="s">
        <v>85</v>
      </c>
      <c r="E7" s="52">
        <f>VLOOKUP(G4,solar_bodies_alldata,9,FALSE)</f>
        <v>398687252500000</v>
      </c>
      <c r="F7" s="76" t="s">
        <v>86</v>
      </c>
    </row>
    <row r="8" spans="1:6" ht="12">
      <c r="A8" s="327"/>
      <c r="B8" s="130"/>
      <c r="C8" s="328"/>
      <c r="D8" s="77" t="s">
        <v>21</v>
      </c>
      <c r="E8" s="52">
        <f>VLOOKUP(G4,solar_bodies_alldata,3,FALSE)</f>
        <v>6378.14</v>
      </c>
      <c r="F8" s="76" t="s">
        <v>82</v>
      </c>
    </row>
    <row r="9" spans="1:10" ht="12.75" thickBot="1">
      <c r="A9" s="263" t="s">
        <v>247</v>
      </c>
      <c r="H9"/>
      <c r="I9"/>
      <c r="J9"/>
    </row>
    <row r="10" spans="1:10" ht="12.75" thickBot="1">
      <c r="A10" s="264" t="s">
        <v>248</v>
      </c>
      <c r="B10" s="265" t="s">
        <v>82</v>
      </c>
      <c r="C10" s="266">
        <v>1000</v>
      </c>
      <c r="H10"/>
      <c r="I10"/>
      <c r="J10"/>
    </row>
    <row r="11" spans="1:10" ht="12.75" thickBot="1">
      <c r="A11" s="267" t="s">
        <v>249</v>
      </c>
      <c r="B11" s="268" t="s">
        <v>82</v>
      </c>
      <c r="C11" s="266">
        <v>326666</v>
      </c>
      <c r="H11"/>
      <c r="I11"/>
      <c r="J11"/>
    </row>
    <row r="12" spans="1:10" ht="12.75" thickBot="1">
      <c r="A12" s="269" t="s">
        <v>250</v>
      </c>
      <c r="B12" s="268" t="s">
        <v>166</v>
      </c>
      <c r="C12" s="343">
        <v>0</v>
      </c>
      <c r="D12" s="41" t="s">
        <v>229</v>
      </c>
      <c r="E12" s="78">
        <f>VLOOKUP(G4,solar_bodies_alldata,17,FALSE)</f>
        <v>924725.522008865</v>
      </c>
      <c r="F12" s="42" t="s">
        <v>82</v>
      </c>
      <c r="H12"/>
      <c r="I12"/>
      <c r="J12"/>
    </row>
    <row r="13" spans="1:10" ht="12.75" thickBot="1">
      <c r="A13" s="264" t="s">
        <v>251</v>
      </c>
      <c r="B13" s="268" t="s">
        <v>184</v>
      </c>
      <c r="C13" s="270">
        <v>0</v>
      </c>
      <c r="D13" s="162"/>
      <c r="H13"/>
      <c r="I13"/>
      <c r="J13"/>
    </row>
    <row r="14" spans="1:10" ht="12.75" thickBot="1">
      <c r="A14" s="271" t="s">
        <v>252</v>
      </c>
      <c r="B14" s="272" t="s">
        <v>184</v>
      </c>
      <c r="C14" s="270">
        <v>0</v>
      </c>
      <c r="H14"/>
      <c r="I14"/>
      <c r="J14"/>
    </row>
    <row r="15" spans="1:10" ht="12.75" thickBot="1">
      <c r="A15" s="185"/>
      <c r="B15" s="162"/>
      <c r="C15" s="273"/>
      <c r="H15"/>
      <c r="I15"/>
      <c r="J15"/>
    </row>
    <row r="16" spans="1:3" ht="12">
      <c r="A16" s="274" t="s">
        <v>253</v>
      </c>
      <c r="B16" s="275" t="s">
        <v>82</v>
      </c>
      <c r="C16" s="342">
        <f>C11+C10+2*C5</f>
        <v>340422.28</v>
      </c>
    </row>
    <row r="17" spans="1:3" ht="12">
      <c r="A17" s="276" t="s">
        <v>254</v>
      </c>
      <c r="B17" s="277" t="s">
        <v>82</v>
      </c>
      <c r="C17" s="278">
        <f>C16/2</f>
        <v>170211.14</v>
      </c>
    </row>
    <row r="18" spans="1:3" ht="12.75" thickBot="1">
      <c r="A18" s="279" t="s">
        <v>255</v>
      </c>
      <c r="B18" s="280"/>
      <c r="C18" s="281">
        <f>(C11-C10)/C16</f>
        <v>0.9566530134279106</v>
      </c>
    </row>
    <row r="19" spans="1:3" ht="12">
      <c r="A19" s="282" t="s">
        <v>285</v>
      </c>
      <c r="B19" s="283" t="s">
        <v>166</v>
      </c>
      <c r="C19" s="284">
        <f>SQRT(C4/(C10+Rplanet_FT_km))</f>
        <v>7.350937480395321</v>
      </c>
    </row>
    <row r="20" spans="1:3" ht="18.75" customHeight="1" thickBot="1">
      <c r="A20" s="285" t="s">
        <v>286</v>
      </c>
      <c r="B20" s="280" t="s">
        <v>166</v>
      </c>
      <c r="C20" s="286">
        <f>SQRT(C4/(C11+C11))</f>
        <v>0.7811765715525026</v>
      </c>
    </row>
    <row r="21" spans="1:3" ht="15" customHeight="1" thickBot="1">
      <c r="A21" s="287" t="s">
        <v>256</v>
      </c>
      <c r="B21" s="283" t="s">
        <v>166</v>
      </c>
      <c r="C21" s="288">
        <f>SQRT(C4/C17*((1+C18))/(1-C18))</f>
        <v>10.282521757721083</v>
      </c>
    </row>
    <row r="22" spans="1:3" ht="12.75" thickBot="1">
      <c r="A22" s="287" t="s">
        <v>257</v>
      </c>
      <c r="B22" s="280" t="s">
        <v>166</v>
      </c>
      <c r="C22" s="289">
        <f>SQRT(C4/C17*((1-C18))/(1+C18))</f>
        <v>0.22779528587866</v>
      </c>
    </row>
    <row r="23" ht="12">
      <c r="A23" s="290" t="s">
        <v>258</v>
      </c>
    </row>
    <row r="24" spans="1:3" ht="12">
      <c r="A24" s="291" t="s">
        <v>259</v>
      </c>
      <c r="B24" s="292" t="s">
        <v>82</v>
      </c>
      <c r="C24" s="293">
        <f>2*C16</f>
        <v>680844.56</v>
      </c>
    </row>
    <row r="25" spans="1:3" ht="12">
      <c r="A25" s="294" t="s">
        <v>260</v>
      </c>
      <c r="B25" s="295" t="s">
        <v>82</v>
      </c>
      <c r="C25" s="296">
        <f>C24/2</f>
        <v>340422.28</v>
      </c>
    </row>
    <row r="26" spans="1:3" ht="12">
      <c r="A26" s="294" t="s">
        <v>261</v>
      </c>
      <c r="B26" s="295" t="s">
        <v>82</v>
      </c>
      <c r="C26" s="296">
        <f>C24-C10-2*C5</f>
        <v>667088.28</v>
      </c>
    </row>
    <row r="27" spans="1:3" ht="12">
      <c r="A27" s="297" t="s">
        <v>262</v>
      </c>
      <c r="B27" s="295"/>
      <c r="C27" s="298">
        <f>1-((C5+C10)/C25)</f>
        <v>0.9783265067139554</v>
      </c>
    </row>
    <row r="28" spans="1:3" ht="12.75" thickBot="1">
      <c r="A28" s="37" t="s">
        <v>263</v>
      </c>
      <c r="B28" s="223" t="s">
        <v>264</v>
      </c>
      <c r="C28" s="299">
        <f>SQRT((C4/C25)*((1+C27)/(1-C27)))</f>
        <v>10.33931374365265</v>
      </c>
    </row>
    <row r="29" spans="1:3" ht="14.25" customHeight="1" thickBot="1">
      <c r="A29" s="300" t="s">
        <v>265</v>
      </c>
      <c r="B29" s="169" t="s">
        <v>264</v>
      </c>
      <c r="C29" s="301">
        <f>SQRT((C4*((2/C11)-(1/C25))))</f>
        <v>1.12685063433149</v>
      </c>
    </row>
    <row r="30" ht="12">
      <c r="A30" s="302" t="s">
        <v>287</v>
      </c>
    </row>
    <row r="31" spans="1:3" ht="12">
      <c r="A31" s="303" t="s">
        <v>266</v>
      </c>
      <c r="B31" s="129"/>
      <c r="C31" s="129"/>
    </row>
    <row r="32" spans="1:3" ht="12">
      <c r="A32" s="37" t="s">
        <v>267</v>
      </c>
      <c r="B32" s="37" t="s">
        <v>82</v>
      </c>
      <c r="C32" s="37">
        <f>C25*(1-C27^2)</f>
        <v>14596.369932246493</v>
      </c>
    </row>
    <row r="33" spans="1:3" ht="12">
      <c r="A33" s="37" t="s">
        <v>268</v>
      </c>
      <c r="B33" s="37" t="s">
        <v>269</v>
      </c>
      <c r="C33" s="304">
        <f>ACOS((C27^-1*(C32/(C11+C5)-1)))</f>
        <v>2.9283772445510587</v>
      </c>
    </row>
    <row r="34" spans="1:3" ht="12">
      <c r="A34" s="37"/>
      <c r="B34" s="305" t="s">
        <v>184</v>
      </c>
      <c r="C34" s="306">
        <f>C33*180/PI()</f>
        <v>167.783656934925</v>
      </c>
    </row>
    <row r="35" spans="1:3" ht="12">
      <c r="A35" s="37" t="s">
        <v>270</v>
      </c>
      <c r="B35" s="37" t="s">
        <v>269</v>
      </c>
      <c r="C35" s="304">
        <f>ATAN((C27*SIN(C33))/(1+C27*COS(C33)))</f>
        <v>1.3621693263934556</v>
      </c>
    </row>
    <row r="36" spans="1:3" ht="12">
      <c r="A36" s="37"/>
      <c r="B36" s="305" t="s">
        <v>184</v>
      </c>
      <c r="C36" s="306">
        <f>C35*180/PI()</f>
        <v>78.04655338452329</v>
      </c>
    </row>
    <row r="37" spans="1:3" ht="12" hidden="1">
      <c r="A37" s="307" t="s">
        <v>271</v>
      </c>
      <c r="B37" s="95" t="s">
        <v>264</v>
      </c>
      <c r="C37" s="308">
        <f>C28-C19</f>
        <v>2.9883762632573285</v>
      </c>
    </row>
    <row r="38" spans="1:3" ht="12.75" hidden="1" thickBot="1">
      <c r="A38" s="309" t="s">
        <v>272</v>
      </c>
      <c r="B38" s="310" t="s">
        <v>264</v>
      </c>
      <c r="C38" s="311">
        <f>SQRT(C29^2+C20^2-2*C29*C20*COS(C35))</f>
        <v>1.2310125675240131</v>
      </c>
    </row>
    <row r="39" spans="1:3" ht="12" hidden="1">
      <c r="A39" s="312" t="s">
        <v>273</v>
      </c>
      <c r="B39" s="94" t="s">
        <v>264</v>
      </c>
      <c r="C39" s="313">
        <f>C38+C37</f>
        <v>4.219388830781342</v>
      </c>
    </row>
    <row r="40" spans="1:3" ht="12" hidden="1">
      <c r="A40" s="314" t="s">
        <v>274</v>
      </c>
      <c r="B40" s="315" t="s">
        <v>264</v>
      </c>
      <c r="C40" s="316">
        <f>2*C20*SIN((C13-C14)/2*PI()/180)</f>
        <v>0</v>
      </c>
    </row>
    <row r="41" spans="1:3" ht="12.75" hidden="1" thickBot="1">
      <c r="A41" s="317" t="s">
        <v>275</v>
      </c>
      <c r="B41" s="318" t="s">
        <v>264</v>
      </c>
      <c r="C41" s="319">
        <f>C39+C40</f>
        <v>4.219388830781342</v>
      </c>
    </row>
    <row r="42" ht="12">
      <c r="A42" s="320" t="s">
        <v>276</v>
      </c>
    </row>
    <row r="43" spans="1:3" ht="12">
      <c r="A43" s="37" t="s">
        <v>277</v>
      </c>
      <c r="B43" s="37" t="s">
        <v>269</v>
      </c>
      <c r="C43" s="37">
        <f>ACOS((C27+COS(C33))/(1+C27*COS(C33)))</f>
        <v>1.548640874231713</v>
      </c>
    </row>
    <row r="44" spans="1:3" ht="12">
      <c r="A44" s="37" t="s">
        <v>278</v>
      </c>
      <c r="B44" s="37" t="s">
        <v>269</v>
      </c>
      <c r="C44" s="37">
        <f>C43-C27*SIN(C43)</f>
        <v>0.5705544703655153</v>
      </c>
    </row>
    <row r="45" spans="1:3" ht="12.75" thickBot="1">
      <c r="A45" s="37" t="s">
        <v>279</v>
      </c>
      <c r="B45" s="37" t="s">
        <v>280</v>
      </c>
      <c r="C45" s="37">
        <f>SQRT(C4/C25^3)</f>
        <v>3.1789903587803976E-06</v>
      </c>
    </row>
    <row r="46" spans="1:3" ht="12">
      <c r="A46" s="321" t="s">
        <v>281</v>
      </c>
      <c r="B46" s="95" t="s">
        <v>123</v>
      </c>
      <c r="C46" s="322">
        <f>C44/C45</f>
        <v>179476.62810289412</v>
      </c>
    </row>
    <row r="47" spans="1:5" ht="12.75" thickBot="1">
      <c r="A47" s="279"/>
      <c r="B47" s="323" t="s">
        <v>238</v>
      </c>
      <c r="C47" s="324">
        <f>C46/3600</f>
        <v>49.85461891747059</v>
      </c>
      <c r="D47" s="341">
        <f>C47/24</f>
        <v>2.0772757882279413</v>
      </c>
      <c r="E47" s="331" t="s">
        <v>68</v>
      </c>
    </row>
    <row r="49" spans="1:4" ht="12.75" thickBot="1">
      <c r="A49" s="43" t="s">
        <v>282</v>
      </c>
      <c r="B49" s="37"/>
      <c r="C49" s="37"/>
      <c r="D49" s="37"/>
    </row>
    <row r="50" spans="1:3" ht="12.75" thickBot="1">
      <c r="A50" s="325" t="s">
        <v>283</v>
      </c>
      <c r="B50" s="169"/>
      <c r="C50" s="326">
        <f>ABS(C29-C12)</f>
        <v>1.12685063433149</v>
      </c>
    </row>
  </sheetData>
  <sheetProtection/>
  <printOptions gridLines="1"/>
  <pageMargins left="0.45" right="0.23" top="0.55" bottom="0.71" header="0.31" footer="0.28"/>
  <pageSetup fitToHeight="1" fitToWidth="1" horizontalDpi="300" verticalDpi="300" orientation="portrait" scale="56"/>
  <headerFooter alignWithMargins="0">
    <oddHeader>&amp;CORBITAL CONDITIONS TABULAR SHEET</oddHeader>
    <oddFooter>&amp;LR Joyner
&amp;A
&amp;F&amp;CPage 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50"/>
  <sheetViews>
    <sheetView zoomScale="75" zoomScaleNormal="75" workbookViewId="0" topLeftCell="A1">
      <pane xSplit="4060" topLeftCell="H1" activePane="topRight" state="split"/>
      <selection pane="topLeft" activeCell="B16" sqref="B16"/>
      <selection pane="topRight" activeCell="U15" sqref="U15"/>
    </sheetView>
  </sheetViews>
  <sheetFormatPr defaultColWidth="8.8515625" defaultRowHeight="12.75"/>
  <cols>
    <col min="1" max="1" width="14.28125" style="0" customWidth="1"/>
    <col min="2" max="2" width="32.7109375" style="0" customWidth="1"/>
    <col min="3" max="3" width="12.421875" style="0" bestFit="1" customWidth="1"/>
    <col min="4" max="4" width="16.421875" style="0" bestFit="1" customWidth="1"/>
    <col min="5" max="7" width="17.28125" style="0" bestFit="1" customWidth="1"/>
    <col min="8" max="8" width="15.7109375" style="0" bestFit="1" customWidth="1"/>
    <col min="9" max="9" width="13.8515625" style="0" customWidth="1"/>
    <col min="10" max="10" width="13.28125" style="0" customWidth="1"/>
    <col min="11" max="11" width="15.7109375" style="0" customWidth="1"/>
    <col min="12" max="12" width="11.00390625" style="0" customWidth="1"/>
    <col min="13" max="13" width="13.140625" style="0" bestFit="1" customWidth="1"/>
    <col min="14" max="14" width="7.421875" style="0" bestFit="1" customWidth="1"/>
    <col min="15" max="15" width="8.00390625" style="0" bestFit="1" customWidth="1"/>
    <col min="16" max="16" width="6.421875" style="0" bestFit="1" customWidth="1"/>
    <col min="17" max="17" width="14.28125" style="0" bestFit="1" customWidth="1"/>
    <col min="18" max="18" width="12.8515625" style="0" customWidth="1"/>
  </cols>
  <sheetData>
    <row r="1" spans="2:3" ht="12">
      <c r="B1" s="39" t="s">
        <v>17</v>
      </c>
      <c r="C1" s="39"/>
    </row>
    <row r="2" spans="2:3" ht="12">
      <c r="B2" t="s">
        <v>13</v>
      </c>
      <c r="C2" t="s">
        <v>13</v>
      </c>
    </row>
    <row r="3" spans="2:10" ht="12.75" thickBot="1">
      <c r="B3" s="39" t="s">
        <v>18</v>
      </c>
      <c r="C3" s="40">
        <v>6.67259E-11</v>
      </c>
      <c r="J3" s="11"/>
    </row>
    <row r="4" ht="12">
      <c r="B4" s="12" t="s">
        <v>19</v>
      </c>
    </row>
    <row r="5" spans="1:18" ht="12">
      <c r="A5" t="s">
        <v>93</v>
      </c>
      <c r="B5" s="12">
        <v>1</v>
      </c>
      <c r="C5">
        <v>2</v>
      </c>
      <c r="D5" s="12">
        <v>3</v>
      </c>
      <c r="E5">
        <v>4</v>
      </c>
      <c r="F5" s="12">
        <v>5</v>
      </c>
      <c r="G5">
        <v>6</v>
      </c>
      <c r="H5" s="12">
        <v>7</v>
      </c>
      <c r="I5">
        <v>8</v>
      </c>
      <c r="J5" s="12">
        <v>9</v>
      </c>
      <c r="K5">
        <v>10</v>
      </c>
      <c r="L5" s="12">
        <v>11</v>
      </c>
      <c r="M5">
        <v>12</v>
      </c>
      <c r="N5" s="12">
        <v>13</v>
      </c>
      <c r="O5">
        <v>14</v>
      </c>
      <c r="P5" s="12">
        <v>15</v>
      </c>
      <c r="Q5">
        <v>16</v>
      </c>
      <c r="R5" s="12">
        <v>17</v>
      </c>
    </row>
    <row r="6" spans="1:19" s="15" customFormat="1" ht="24.75" customHeight="1">
      <c r="A6" s="15" t="s">
        <v>92</v>
      </c>
      <c r="B6" s="13" t="s">
        <v>20</v>
      </c>
      <c r="C6" s="13" t="s">
        <v>21</v>
      </c>
      <c r="D6" s="13" t="s">
        <v>21</v>
      </c>
      <c r="E6" s="13" t="s">
        <v>22</v>
      </c>
      <c r="F6" s="13" t="s">
        <v>22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25</v>
      </c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4" t="s">
        <v>31</v>
      </c>
      <c r="R6" s="13" t="s">
        <v>32</v>
      </c>
      <c r="S6" s="15" t="s">
        <v>293</v>
      </c>
    </row>
    <row r="7" spans="3:18" s="16" customFormat="1" ht="12"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6" t="s">
        <v>38</v>
      </c>
      <c r="I7" s="16" t="s">
        <v>39</v>
      </c>
      <c r="J7" s="17" t="s">
        <v>40</v>
      </c>
      <c r="K7" s="17" t="s">
        <v>41</v>
      </c>
      <c r="L7" s="16" t="s">
        <v>42</v>
      </c>
      <c r="M7" s="16" t="s">
        <v>43</v>
      </c>
      <c r="N7" s="16" t="s">
        <v>44</v>
      </c>
      <c r="O7" s="18" t="s">
        <v>45</v>
      </c>
      <c r="P7" s="16" t="s">
        <v>46</v>
      </c>
      <c r="Q7" s="17" t="s">
        <v>47</v>
      </c>
      <c r="R7" s="16" t="s">
        <v>48</v>
      </c>
    </row>
    <row r="8" spans="1:16" ht="12">
      <c r="A8">
        <v>1</v>
      </c>
      <c r="B8" s="25" t="s">
        <v>49</v>
      </c>
      <c r="C8" s="9">
        <v>696000000</v>
      </c>
      <c r="D8" s="4">
        <f>C8/1000</f>
        <v>696000</v>
      </c>
      <c r="E8" s="8"/>
      <c r="F8" s="7"/>
      <c r="G8" s="7">
        <v>0</v>
      </c>
      <c r="H8" s="19">
        <v>332900</v>
      </c>
      <c r="I8" s="7">
        <v>1.989E+30</v>
      </c>
      <c r="J8" s="11">
        <f>M_kg_Sun*UGC1_m3_kg_sec2</f>
        <v>1.327178151E+20</v>
      </c>
      <c r="K8" s="11">
        <f>mu_sun_m3_s2/1000^3</f>
        <v>132717815100</v>
      </c>
      <c r="L8" s="20"/>
      <c r="M8" s="21">
        <v>617500</v>
      </c>
      <c r="N8" s="16"/>
      <c r="O8" s="16"/>
      <c r="P8" s="16"/>
    </row>
    <row r="9" spans="1:19" ht="12">
      <c r="A9">
        <v>2</v>
      </c>
      <c r="B9" s="25" t="s">
        <v>50</v>
      </c>
      <c r="C9" s="9">
        <v>2439000</v>
      </c>
      <c r="D9" s="4">
        <f aca="true" t="shared" si="0" ref="D9:D26">C9/1000</f>
        <v>2439</v>
      </c>
      <c r="E9" s="8">
        <v>0.3871</v>
      </c>
      <c r="F9" s="7">
        <f>E9*Semimajor_Earth_Sun</f>
        <v>57910160000</v>
      </c>
      <c r="G9" s="7">
        <f>F9/1000</f>
        <v>57910160</v>
      </c>
      <c r="H9" s="19">
        <v>0.0544</v>
      </c>
      <c r="I9">
        <f>H9*M_kg_Earth</f>
        <v>3.2504E+23</v>
      </c>
      <c r="J9" s="11">
        <f>M_kg_Mercury*UGC1_m3_kg_sec2</f>
        <v>21688586536000</v>
      </c>
      <c r="K9" s="11">
        <f>mu_merc_m3_s2/1000^3</f>
        <v>21688.586536</v>
      </c>
      <c r="L9" s="21">
        <v>47870</v>
      </c>
      <c r="M9" s="21">
        <v>4217</v>
      </c>
      <c r="N9" s="22">
        <v>87.97</v>
      </c>
      <c r="O9" s="16">
        <v>0.2056</v>
      </c>
      <c r="P9" s="23">
        <v>7.004</v>
      </c>
      <c r="Q9" s="23">
        <f aca="true" t="shared" si="1" ref="Q9:Q26">360/N9</f>
        <v>4.0923041946118</v>
      </c>
      <c r="R9" s="24">
        <f>F9*(I9/$I$8)^0.4/1000</f>
        <v>111705.76196896167</v>
      </c>
      <c r="S9" s="25" t="s">
        <v>49</v>
      </c>
    </row>
    <row r="10" spans="1:19" ht="12">
      <c r="A10">
        <v>3</v>
      </c>
      <c r="B10" s="25" t="s">
        <v>51</v>
      </c>
      <c r="C10" s="9">
        <v>6052000</v>
      </c>
      <c r="D10" s="4">
        <f t="shared" si="0"/>
        <v>6052</v>
      </c>
      <c r="E10" s="8">
        <v>0.7233</v>
      </c>
      <c r="F10" s="7">
        <f>E10*Semimajor_Earth_Sun</f>
        <v>108205680000.00002</v>
      </c>
      <c r="G10" s="7">
        <f aca="true" t="shared" si="2" ref="G10:G26">F10/1000</f>
        <v>108205680.00000001</v>
      </c>
      <c r="H10" s="19">
        <v>0.8149</v>
      </c>
      <c r="I10">
        <f>H10*M_kg_Earth</f>
        <v>4.869027499999999E+24</v>
      </c>
      <c r="J10" s="11">
        <f>M_kg_Venus*UGC1_m3_kg_sec2</f>
        <v>324890242062249.94</v>
      </c>
      <c r="K10" s="11">
        <f>mu_venus_m3_s2/1000^3</f>
        <v>324890.2420622499</v>
      </c>
      <c r="L10" s="21">
        <v>35040</v>
      </c>
      <c r="M10" s="21">
        <v>10360</v>
      </c>
      <c r="N10" s="22">
        <v>224.7</v>
      </c>
      <c r="O10" s="16">
        <v>0.0068</v>
      </c>
      <c r="P10" s="23">
        <v>3.394</v>
      </c>
      <c r="Q10" s="23">
        <f t="shared" si="1"/>
        <v>1.602136181575434</v>
      </c>
      <c r="R10" s="24">
        <f>F10*(I10/$I$8)^0.4/1000</f>
        <v>616272.8515707687</v>
      </c>
      <c r="S10" s="25" t="s">
        <v>49</v>
      </c>
    </row>
    <row r="11" spans="1:19" ht="12">
      <c r="A11">
        <v>4</v>
      </c>
      <c r="B11" s="25" t="s">
        <v>13</v>
      </c>
      <c r="C11" s="9">
        <v>6378140</v>
      </c>
      <c r="D11" s="4">
        <f t="shared" si="0"/>
        <v>6378.14</v>
      </c>
      <c r="E11" s="8">
        <v>1</v>
      </c>
      <c r="F11" s="7">
        <v>149600000000</v>
      </c>
      <c r="G11" s="7">
        <f t="shared" si="2"/>
        <v>149600000</v>
      </c>
      <c r="H11" s="19">
        <v>1</v>
      </c>
      <c r="I11">
        <f>5.975E+24</f>
        <v>5.975E+24</v>
      </c>
      <c r="J11" s="11">
        <f>M_kg_Earth*UGC1_m3_kg_sec2</f>
        <v>398687252500000</v>
      </c>
      <c r="K11" s="11">
        <f>mu_earth_m3_s2/1000^3</f>
        <v>398687.2525</v>
      </c>
      <c r="L11" s="21">
        <v>29790</v>
      </c>
      <c r="M11" s="21">
        <v>11180</v>
      </c>
      <c r="N11" s="22">
        <v>365.2</v>
      </c>
      <c r="O11" s="16">
        <v>0.0167</v>
      </c>
      <c r="P11" s="23">
        <v>0</v>
      </c>
      <c r="Q11" s="23">
        <f t="shared" si="1"/>
        <v>0.9857612267250822</v>
      </c>
      <c r="R11" s="24">
        <f>F11*(I11/$I$8)^0.4/1000</f>
        <v>924725.522008865</v>
      </c>
      <c r="S11" s="25" t="s">
        <v>49</v>
      </c>
    </row>
    <row r="12" spans="1:19" ht="12">
      <c r="A12">
        <v>5</v>
      </c>
      <c r="B12" s="25" t="s">
        <v>52</v>
      </c>
      <c r="C12" s="9">
        <v>1738000</v>
      </c>
      <c r="D12" s="4">
        <f t="shared" si="0"/>
        <v>1738</v>
      </c>
      <c r="E12" s="26"/>
      <c r="F12" s="7">
        <v>384400000</v>
      </c>
      <c r="G12" s="7">
        <f t="shared" si="2"/>
        <v>384400</v>
      </c>
      <c r="H12">
        <v>0.0123</v>
      </c>
      <c r="I12">
        <f aca="true" t="shared" si="3" ref="I12:I26">H12*M_kg_Earth</f>
        <v>7.34925E+22</v>
      </c>
      <c r="J12" s="11">
        <f>M_kg_Moon*UGC1_m3_kg_sec2</f>
        <v>4903853205750</v>
      </c>
      <c r="K12" s="11">
        <f>mu_moon_m3_s2/1000^3</f>
        <v>4903.85320575</v>
      </c>
      <c r="L12" s="21">
        <v>1018</v>
      </c>
      <c r="M12" s="21">
        <v>2375</v>
      </c>
      <c r="N12" s="22">
        <v>28</v>
      </c>
      <c r="O12" s="16">
        <v>0.0549</v>
      </c>
      <c r="P12" s="23">
        <v>5.1333</v>
      </c>
      <c r="Q12" s="23">
        <f t="shared" si="1"/>
        <v>12.857142857142858</v>
      </c>
      <c r="R12" s="24">
        <f>F12*(I12/M_kg_Earth)^0.4/1000</f>
        <v>66182.84368076304</v>
      </c>
      <c r="S12" s="25" t="s">
        <v>292</v>
      </c>
    </row>
    <row r="13" spans="1:19" ht="12">
      <c r="A13">
        <v>6</v>
      </c>
      <c r="B13" s="25" t="s">
        <v>53</v>
      </c>
      <c r="C13" s="9">
        <v>3393000</v>
      </c>
      <c r="D13" s="4">
        <f t="shared" si="0"/>
        <v>3393</v>
      </c>
      <c r="E13" s="8">
        <v>1.524</v>
      </c>
      <c r="F13" s="7">
        <f>E13*Semimajor_Earth_Sun</f>
        <v>227990400000</v>
      </c>
      <c r="G13" s="7">
        <f t="shared" si="2"/>
        <v>227990400</v>
      </c>
      <c r="H13" s="19">
        <v>0.1078</v>
      </c>
      <c r="I13">
        <f t="shared" si="3"/>
        <v>6.441050000000001E+23</v>
      </c>
      <c r="J13" s="11">
        <f>M_kg_Mars*UGC1_m3_kg_sec2</f>
        <v>42978485819500.01</v>
      </c>
      <c r="K13" s="11">
        <f>mu_mars_m3_s2/1000^3</f>
        <v>42978.485819500005</v>
      </c>
      <c r="L13" s="21">
        <v>24140</v>
      </c>
      <c r="M13" s="21">
        <v>5032</v>
      </c>
      <c r="N13" s="22">
        <v>687</v>
      </c>
      <c r="O13" s="16">
        <v>0.0934</v>
      </c>
      <c r="P13" s="23">
        <v>1.85</v>
      </c>
      <c r="Q13" s="23">
        <f t="shared" si="1"/>
        <v>0.5240174672489083</v>
      </c>
      <c r="R13" s="24">
        <f>F13*(I13/$I$8)^0.4/1000</f>
        <v>578156.3706709248</v>
      </c>
      <c r="S13" s="25" t="s">
        <v>49</v>
      </c>
    </row>
    <row r="14" spans="1:19" ht="12">
      <c r="A14">
        <v>7</v>
      </c>
      <c r="B14" s="25" t="s">
        <v>54</v>
      </c>
      <c r="C14" s="9"/>
      <c r="D14" s="4">
        <v>11</v>
      </c>
      <c r="E14" s="8"/>
      <c r="F14" s="7">
        <v>9380000</v>
      </c>
      <c r="G14" s="7">
        <f t="shared" si="2"/>
        <v>9380</v>
      </c>
      <c r="H14" s="19"/>
      <c r="J14" s="11"/>
      <c r="K14" s="11"/>
      <c r="L14" s="21"/>
      <c r="M14" s="21"/>
      <c r="N14" s="22">
        <v>0.319</v>
      </c>
      <c r="O14" s="16">
        <v>0.015</v>
      </c>
      <c r="P14" s="23">
        <v>1.02</v>
      </c>
      <c r="Q14" s="23"/>
      <c r="R14" s="24">
        <f>F14*(I14/M_kg_Mars)^0.4/1000</f>
        <v>0</v>
      </c>
      <c r="S14" s="25" t="s">
        <v>294</v>
      </c>
    </row>
    <row r="15" spans="1:19" ht="12">
      <c r="A15">
        <v>8</v>
      </c>
      <c r="B15" s="25" t="s">
        <v>55</v>
      </c>
      <c r="C15" s="9"/>
      <c r="D15" s="4">
        <v>6</v>
      </c>
      <c r="E15" s="8"/>
      <c r="F15" s="7">
        <v>23460000</v>
      </c>
      <c r="G15" s="7">
        <v>23460000</v>
      </c>
      <c r="H15" s="19"/>
      <c r="J15" s="11"/>
      <c r="K15" s="11"/>
      <c r="L15" s="21"/>
      <c r="M15" s="21"/>
      <c r="N15" s="22">
        <v>1.262</v>
      </c>
      <c r="O15" s="16">
        <v>0.001</v>
      </c>
      <c r="P15" s="23">
        <v>1.82</v>
      </c>
      <c r="Q15" s="23"/>
      <c r="R15" s="24">
        <f>F15*(I15/M_kg_Mars)^0.4/1000</f>
        <v>0</v>
      </c>
      <c r="S15" s="25" t="s">
        <v>294</v>
      </c>
    </row>
    <row r="16" spans="1:19" ht="12">
      <c r="A16">
        <v>9</v>
      </c>
      <c r="B16" s="25" t="s">
        <v>14</v>
      </c>
      <c r="C16" s="9">
        <v>71400000</v>
      </c>
      <c r="D16" s="4">
        <f t="shared" si="0"/>
        <v>71400</v>
      </c>
      <c r="E16" s="8">
        <v>5.203</v>
      </c>
      <c r="F16" s="7">
        <f>E16*Semimajor_Earth_Sun</f>
        <v>778368800000</v>
      </c>
      <c r="G16" s="7">
        <f t="shared" si="2"/>
        <v>778368800</v>
      </c>
      <c r="H16" s="19">
        <v>317.8</v>
      </c>
      <c r="I16">
        <f t="shared" si="3"/>
        <v>1.898855E+27</v>
      </c>
      <c r="J16" s="11">
        <f>M_kg_Jupiter*UGC1_m3_kg_sec2</f>
        <v>1.267028088445E+17</v>
      </c>
      <c r="K16" s="11">
        <f>mu_jupiter_m3_s2/1000^3</f>
        <v>126702808.8445</v>
      </c>
      <c r="L16" s="21">
        <v>13060</v>
      </c>
      <c r="M16" s="21">
        <v>59568</v>
      </c>
      <c r="N16" s="22">
        <v>4332</v>
      </c>
      <c r="O16" s="16">
        <v>0.0482</v>
      </c>
      <c r="P16" s="23">
        <v>1.306</v>
      </c>
      <c r="Q16" s="23">
        <f t="shared" si="1"/>
        <v>0.08310249307479224</v>
      </c>
      <c r="R16" s="24">
        <f>F16*(I16/$I$8)^0.4/1000</f>
        <v>48209011.56361948</v>
      </c>
      <c r="S16" s="25" t="s">
        <v>49</v>
      </c>
    </row>
    <row r="17" spans="1:19" ht="12">
      <c r="A17">
        <v>10</v>
      </c>
      <c r="B17" s="25" t="s">
        <v>56</v>
      </c>
      <c r="C17" s="9">
        <v>1815000</v>
      </c>
      <c r="D17" s="4">
        <f t="shared" si="0"/>
        <v>1815</v>
      </c>
      <c r="E17" s="8"/>
      <c r="F17" s="7">
        <v>421600000</v>
      </c>
      <c r="G17" s="7">
        <f t="shared" si="2"/>
        <v>421600</v>
      </c>
      <c r="H17" s="19">
        <v>0.0149</v>
      </c>
      <c r="I17">
        <f t="shared" si="3"/>
        <v>8.90275E+22</v>
      </c>
      <c r="J17" s="11">
        <f>M_Kg_Jup_Io*UGC1_m3_kg_sec2</f>
        <v>5940440062250</v>
      </c>
      <c r="K17" s="11">
        <f>Mu_JupIo_m3_s2/1000^3</f>
        <v>5940.44006225</v>
      </c>
      <c r="L17" s="21"/>
      <c r="M17" s="21"/>
      <c r="N17" s="22"/>
      <c r="O17" s="16"/>
      <c r="P17" s="23"/>
      <c r="Q17" s="23"/>
      <c r="R17" s="24">
        <f>F17*(I17/M_kg_Jupiter)^0.4/1000</f>
        <v>7821.923288774506</v>
      </c>
      <c r="S17" s="25" t="s">
        <v>14</v>
      </c>
    </row>
    <row r="18" spans="1:19" ht="12">
      <c r="A18">
        <v>11</v>
      </c>
      <c r="B18" s="25" t="s">
        <v>57</v>
      </c>
      <c r="C18" s="9">
        <v>1565000</v>
      </c>
      <c r="D18" s="4">
        <f t="shared" si="0"/>
        <v>1565</v>
      </c>
      <c r="E18" s="8"/>
      <c r="F18" s="7">
        <v>670900000</v>
      </c>
      <c r="G18" s="7">
        <f t="shared" si="2"/>
        <v>670900</v>
      </c>
      <c r="H18" s="27">
        <v>0.00803</v>
      </c>
      <c r="I18">
        <f t="shared" si="3"/>
        <v>4.797925000000001E+22</v>
      </c>
      <c r="J18" s="11">
        <f>M_kg_Jup_Europa*UGC1_m3_kg_sec2</f>
        <v>3201458637575.0005</v>
      </c>
      <c r="K18" s="11">
        <f>J18/1000^3</f>
        <v>3201.4586375750005</v>
      </c>
      <c r="L18" s="21"/>
      <c r="M18" s="21"/>
      <c r="N18" s="22"/>
      <c r="O18" s="16"/>
      <c r="P18" s="23"/>
      <c r="Q18" s="23"/>
      <c r="R18" s="24">
        <f>F18*(I18/M_kg_Jupiter)^0.4/1000</f>
        <v>9720.36231048006</v>
      </c>
      <c r="S18" s="25" t="s">
        <v>14</v>
      </c>
    </row>
    <row r="19" spans="1:19" ht="12">
      <c r="A19">
        <v>12</v>
      </c>
      <c r="B19" s="25" t="s">
        <v>58</v>
      </c>
      <c r="C19" s="9">
        <v>2403000</v>
      </c>
      <c r="D19" s="4">
        <f t="shared" si="0"/>
        <v>2403</v>
      </c>
      <c r="E19" s="8"/>
      <c r="F19" s="7">
        <v>1883000000</v>
      </c>
      <c r="G19" s="7">
        <f t="shared" si="2"/>
        <v>1883000</v>
      </c>
      <c r="H19" s="27">
        <v>0.01801</v>
      </c>
      <c r="I19">
        <f t="shared" si="3"/>
        <v>1.0760975000000001E+23</v>
      </c>
      <c r="J19" s="11">
        <f>M_kg_Jup_Callisto*UGC1_m3_kg_sec2</f>
        <v>7180357417525</v>
      </c>
      <c r="K19" s="11">
        <f>J19/1000^3</f>
        <v>7180.357417525</v>
      </c>
      <c r="L19" s="21"/>
      <c r="M19" s="21"/>
      <c r="N19" s="22"/>
      <c r="O19" s="16"/>
      <c r="P19" s="23"/>
      <c r="Q19" s="23"/>
      <c r="R19" s="24">
        <f>F19*(I19/M_kg_Jupiter)^0.4/1000</f>
        <v>37687.23259347547</v>
      </c>
      <c r="S19" s="25" t="s">
        <v>14</v>
      </c>
    </row>
    <row r="20" spans="1:19" ht="12">
      <c r="A20">
        <v>13</v>
      </c>
      <c r="B20" s="25" t="s">
        <v>59</v>
      </c>
      <c r="C20" s="9">
        <v>2631000</v>
      </c>
      <c r="D20" s="4">
        <f t="shared" si="0"/>
        <v>2631</v>
      </c>
      <c r="E20" s="8"/>
      <c r="F20" s="7">
        <v>1070000000</v>
      </c>
      <c r="G20" s="7">
        <f t="shared" si="2"/>
        <v>1070000</v>
      </c>
      <c r="H20" s="19">
        <v>0.145</v>
      </c>
      <c r="I20">
        <f t="shared" si="3"/>
        <v>8.663749999999999E+23</v>
      </c>
      <c r="J20" s="11">
        <f>M_kg_Jup_Ganymede*UGC1_m3_kg_sec2</f>
        <v>57809651612499.99</v>
      </c>
      <c r="K20" s="11">
        <f>J20/1000^3</f>
        <v>57809.65161249999</v>
      </c>
      <c r="L20" s="21"/>
      <c r="M20" s="21"/>
      <c r="N20" s="22"/>
      <c r="O20" s="16"/>
      <c r="P20" s="23"/>
      <c r="Q20" s="23"/>
      <c r="R20" s="24">
        <f>F20*(I20/M_kg_Jupiter)^0.4/1000</f>
        <v>49325.26434727334</v>
      </c>
      <c r="S20" s="25" t="s">
        <v>14</v>
      </c>
    </row>
    <row r="21" spans="1:19" ht="12">
      <c r="A21">
        <v>14</v>
      </c>
      <c r="B21" s="25" t="s">
        <v>60</v>
      </c>
      <c r="C21" s="9">
        <v>60000000</v>
      </c>
      <c r="D21" s="4">
        <f t="shared" si="0"/>
        <v>60000</v>
      </c>
      <c r="E21" s="8">
        <v>9.539</v>
      </c>
      <c r="F21" s="7">
        <f>E21*Semimajor_Earth_Sun</f>
        <v>1427034400000</v>
      </c>
      <c r="G21" s="7">
        <f t="shared" si="2"/>
        <v>1427034400</v>
      </c>
      <c r="H21" s="19">
        <v>95.11</v>
      </c>
      <c r="I21">
        <f t="shared" si="3"/>
        <v>5.6828225E+26</v>
      </c>
      <c r="J21" s="11">
        <f>M_kg_Saturn*UGC1_m3_kg_sec2</f>
        <v>37919144585275000</v>
      </c>
      <c r="K21" s="11">
        <f>J21/1000^3</f>
        <v>37919144.585275</v>
      </c>
      <c r="L21" s="21">
        <v>9650</v>
      </c>
      <c r="M21" s="21">
        <v>35550</v>
      </c>
      <c r="N21" s="22">
        <v>10760</v>
      </c>
      <c r="O21" s="16">
        <v>0.0539</v>
      </c>
      <c r="P21" s="23">
        <v>2.489</v>
      </c>
      <c r="Q21" s="23">
        <f t="shared" si="1"/>
        <v>0.03345724907063197</v>
      </c>
      <c r="R21" s="24">
        <f>F21*(I21/$I$8)^0.4/1000</f>
        <v>54551433.26632908</v>
      </c>
      <c r="S21" s="25" t="s">
        <v>49</v>
      </c>
    </row>
    <row r="22" spans="1:19" ht="12">
      <c r="A22">
        <v>15</v>
      </c>
      <c r="B22" s="25" t="s">
        <v>61</v>
      </c>
      <c r="C22" s="9">
        <v>2575000</v>
      </c>
      <c r="D22" s="4">
        <f t="shared" si="0"/>
        <v>2575</v>
      </c>
      <c r="E22" s="8"/>
      <c r="F22" s="7">
        <v>1221860</v>
      </c>
      <c r="G22" s="7">
        <f>F22/1000</f>
        <v>1221.86</v>
      </c>
      <c r="H22" s="19">
        <v>0.0226</v>
      </c>
      <c r="I22">
        <f t="shared" si="3"/>
        <v>1.3503499999999998E+23</v>
      </c>
      <c r="J22" s="11">
        <f>M_kg_Sat_Titan*UGC1_m3_kg_sec2</f>
        <v>9010331906499.998</v>
      </c>
      <c r="K22" s="11">
        <f>J22/1000^3</f>
        <v>9010.331906499998</v>
      </c>
      <c r="L22" s="21"/>
      <c r="M22" s="21"/>
      <c r="N22" s="22"/>
      <c r="O22" s="16"/>
      <c r="P22" s="23"/>
      <c r="Q22" s="23"/>
      <c r="R22" s="24">
        <f>F22*(I22/M_kg_Saturn)^0.4/1000</f>
        <v>43.38847145771033</v>
      </c>
      <c r="S22" s="25" t="s">
        <v>60</v>
      </c>
    </row>
    <row r="23" spans="1:19" ht="12">
      <c r="A23">
        <v>16</v>
      </c>
      <c r="B23" s="25" t="s">
        <v>62</v>
      </c>
      <c r="C23" s="9">
        <v>25400000</v>
      </c>
      <c r="D23" s="4">
        <f t="shared" si="0"/>
        <v>25400</v>
      </c>
      <c r="E23" s="8">
        <v>19.18</v>
      </c>
      <c r="F23" s="7">
        <f>E23*Semimajor_Earth_Sun</f>
        <v>2869328000000</v>
      </c>
      <c r="G23" s="7">
        <f t="shared" si="2"/>
        <v>2869328000</v>
      </c>
      <c r="H23" s="19">
        <v>14.52</v>
      </c>
      <c r="I23">
        <f t="shared" si="3"/>
        <v>8.6757E+25</v>
      </c>
      <c r="J23" s="11">
        <f>I23*UGC1_m3_kg_sec2</f>
        <v>5788938906300000</v>
      </c>
      <c r="K23" s="11">
        <f>mu_uranus_m3_s2/1000^3</f>
        <v>5788938.9063</v>
      </c>
      <c r="L23" s="21">
        <v>6800</v>
      </c>
      <c r="M23" s="21">
        <v>21350</v>
      </c>
      <c r="N23" s="22">
        <v>30690</v>
      </c>
      <c r="O23" s="16">
        <v>0.0471</v>
      </c>
      <c r="P23" s="23">
        <v>0.773</v>
      </c>
      <c r="Q23" s="23">
        <f t="shared" si="1"/>
        <v>0.011730205278592375</v>
      </c>
      <c r="R23" s="24">
        <f>F23*(I23/$I$8)^0.4/1000</f>
        <v>51718758.77850748</v>
      </c>
      <c r="S23" s="25" t="s">
        <v>49</v>
      </c>
    </row>
    <row r="24" spans="1:19" ht="12">
      <c r="A24">
        <v>17</v>
      </c>
      <c r="B24" s="25" t="s">
        <v>63</v>
      </c>
      <c r="C24" s="9">
        <v>24300000</v>
      </c>
      <c r="D24" s="4">
        <f t="shared" si="0"/>
        <v>24300</v>
      </c>
      <c r="E24" s="8">
        <v>30.07</v>
      </c>
      <c r="F24" s="7">
        <f>E24*Semimajor_Earth_Sun</f>
        <v>4498472000000</v>
      </c>
      <c r="G24" s="7">
        <f t="shared" si="2"/>
        <v>4498472000</v>
      </c>
      <c r="H24" s="19">
        <v>17.14</v>
      </c>
      <c r="I24">
        <f t="shared" si="3"/>
        <v>1.024115E+26</v>
      </c>
      <c r="J24" s="11">
        <f>I24*UGC1_m3_kg_sec2</f>
        <v>6833499507849999</v>
      </c>
      <c r="K24" s="11">
        <f>mu_nep_m3_s2/1000^3</f>
        <v>6833499.507849999</v>
      </c>
      <c r="L24" s="21">
        <v>5490</v>
      </c>
      <c r="M24" s="21">
        <v>23710</v>
      </c>
      <c r="N24" s="22">
        <v>60190</v>
      </c>
      <c r="O24" s="16">
        <v>0.005</v>
      </c>
      <c r="P24" s="23">
        <v>1.773</v>
      </c>
      <c r="Q24" s="23">
        <f t="shared" si="1"/>
        <v>0.005981059976740323</v>
      </c>
      <c r="R24" s="24">
        <f>F24*(I24/$I$8)^0.4/1000</f>
        <v>86646415.15913188</v>
      </c>
      <c r="S24" s="25" t="s">
        <v>49</v>
      </c>
    </row>
    <row r="25" spans="1:19" ht="12">
      <c r="A25">
        <v>18</v>
      </c>
      <c r="B25" s="25" t="s">
        <v>64</v>
      </c>
      <c r="C25" s="9">
        <v>1352000</v>
      </c>
      <c r="D25" s="4">
        <f t="shared" si="0"/>
        <v>1352</v>
      </c>
      <c r="E25" s="8"/>
      <c r="F25" s="7">
        <v>355300</v>
      </c>
      <c r="G25" s="7">
        <f t="shared" si="2"/>
        <v>355.3</v>
      </c>
      <c r="H25" s="19">
        <v>0.0036</v>
      </c>
      <c r="I25">
        <f t="shared" si="3"/>
        <v>2.151E+22</v>
      </c>
      <c r="J25" s="11">
        <f>I25*UGC1_m3_kg_sec2</f>
        <v>1435274108999.9998</v>
      </c>
      <c r="K25" s="11">
        <f>J25/1000^3</f>
        <v>1435.2741089999997</v>
      </c>
      <c r="L25" s="21"/>
      <c r="M25" s="21"/>
      <c r="N25" s="22"/>
      <c r="O25" s="16"/>
      <c r="P25" s="23"/>
      <c r="Q25" s="23"/>
      <c r="R25" s="24">
        <f>F25*(I25/I24)^0.4/1000</f>
        <v>12.009139253239042</v>
      </c>
      <c r="S25" s="25" t="s">
        <v>63</v>
      </c>
    </row>
    <row r="26" spans="1:19" ht="12">
      <c r="A26">
        <v>19</v>
      </c>
      <c r="B26" s="25" t="s">
        <v>65</v>
      </c>
      <c r="C26" s="9">
        <v>1500000</v>
      </c>
      <c r="D26" s="4">
        <f t="shared" si="0"/>
        <v>1500</v>
      </c>
      <c r="E26" s="8">
        <v>39.44</v>
      </c>
      <c r="F26" s="7">
        <f>E26*Semimajor_Earth_Sun</f>
        <v>5900224000000</v>
      </c>
      <c r="G26" s="7">
        <f t="shared" si="2"/>
        <v>5900224000</v>
      </c>
      <c r="H26" s="19">
        <v>0.0025</v>
      </c>
      <c r="I26">
        <f t="shared" si="3"/>
        <v>1.49375E+22</v>
      </c>
      <c r="J26" s="11">
        <f>I26*UGC1_m3_kg_sec2</f>
        <v>996718131250</v>
      </c>
      <c r="K26" s="11">
        <f>mu_pluto_m3_s2/1000^3</f>
        <v>996.71813125</v>
      </c>
      <c r="L26" s="21">
        <v>4740</v>
      </c>
      <c r="M26" s="21">
        <v>1153</v>
      </c>
      <c r="N26" s="22">
        <v>90460</v>
      </c>
      <c r="O26" s="16">
        <v>0.2583</v>
      </c>
      <c r="P26" s="23">
        <v>17.14</v>
      </c>
      <c r="Q26" s="23">
        <f t="shared" si="1"/>
        <v>0.003979659518019014</v>
      </c>
      <c r="R26" s="24">
        <f>F26*(I26/$I$8)^0.4/1000</f>
        <v>3319905.7448640624</v>
      </c>
      <c r="S26" s="25" t="s">
        <v>49</v>
      </c>
    </row>
    <row r="32" ht="12">
      <c r="B32" s="28" t="s">
        <v>66</v>
      </c>
    </row>
    <row r="33" spans="2:4" ht="12">
      <c r="B33" s="29" t="s">
        <v>67</v>
      </c>
      <c r="C33" s="30" t="s">
        <v>68</v>
      </c>
      <c r="D33" s="30" t="s">
        <v>10</v>
      </c>
    </row>
    <row r="34" spans="2:4" ht="12">
      <c r="B34" t="s">
        <v>50</v>
      </c>
      <c r="C34" s="31">
        <f>ABS(360/($Q$11-Q9))</f>
        <v>115.88444252065071</v>
      </c>
      <c r="D34" s="32">
        <f aca="true" t="shared" si="4" ref="D34:D42">C34/365.2</f>
        <v>0.31731775060419143</v>
      </c>
    </row>
    <row r="35" spans="2:4" ht="12">
      <c r="B35" t="s">
        <v>51</v>
      </c>
      <c r="C35" s="31">
        <f>ABS(360/($Q$11-Q10))</f>
        <v>584.0600711743771</v>
      </c>
      <c r="D35" s="32">
        <f t="shared" si="4"/>
        <v>1.5992882562277577</v>
      </c>
    </row>
    <row r="36" spans="2:4" ht="12">
      <c r="B36" t="s">
        <v>69</v>
      </c>
      <c r="C36" s="31">
        <f>ABS(360/($Q$11-Q12))</f>
        <v>30.32502965599051</v>
      </c>
      <c r="D36" s="32">
        <f t="shared" si="4"/>
        <v>0.0830367734282325</v>
      </c>
    </row>
    <row r="37" spans="2:4" ht="12">
      <c r="B37" t="s">
        <v>53</v>
      </c>
      <c r="C37" s="31">
        <f>ABS(360/($Q$11-Q13))</f>
        <v>779.6532007458048</v>
      </c>
      <c r="D37" s="32">
        <f t="shared" si="4"/>
        <v>2.134866376631448</v>
      </c>
    </row>
    <row r="38" spans="2:4" ht="12">
      <c r="B38" t="s">
        <v>14</v>
      </c>
      <c r="C38" s="31">
        <f>ABS(360/($Q$11-Q16))</f>
        <v>398.8218211152566</v>
      </c>
      <c r="D38" s="32">
        <f t="shared" si="4"/>
        <v>1.092064132298074</v>
      </c>
    </row>
    <row r="39" spans="2:4" ht="12">
      <c r="B39" t="s">
        <v>60</v>
      </c>
      <c r="C39" s="31">
        <f>ABS(360/($Q$11-Q21))</f>
        <v>378.03055373840766</v>
      </c>
      <c r="D39" s="32">
        <f t="shared" si="4"/>
        <v>1.0351329510909302</v>
      </c>
    </row>
    <row r="40" spans="2:4" ht="12">
      <c r="B40" t="s">
        <v>62</v>
      </c>
      <c r="C40" s="31">
        <f>ABS(360/($Q$11-Q23))</f>
        <v>369.5980847359257</v>
      </c>
      <c r="D40" s="32">
        <f t="shared" si="4"/>
        <v>1.0120429483459084</v>
      </c>
    </row>
    <row r="41" spans="2:4" ht="12">
      <c r="B41" t="s">
        <v>63</v>
      </c>
      <c r="C41" s="31">
        <f>ABS(360/($Q$11-Q24))</f>
        <v>367.42936039903185</v>
      </c>
      <c r="D41" s="32">
        <f t="shared" si="4"/>
        <v>1.006104491782672</v>
      </c>
    </row>
    <row r="42" spans="2:4" ht="12">
      <c r="B42" t="s">
        <v>65</v>
      </c>
      <c r="C42" s="31">
        <f>ABS(360/($Q$11-Q26))</f>
        <v>366.6803411517646</v>
      </c>
      <c r="D42" s="32">
        <f t="shared" si="4"/>
        <v>1.0040535080825974</v>
      </c>
    </row>
    <row r="44" spans="4:9" s="15" customFormat="1" ht="46.5" customHeight="1">
      <c r="D44" s="33" t="s">
        <v>70</v>
      </c>
      <c r="E44" s="15" t="s">
        <v>71</v>
      </c>
      <c r="F44" s="15" t="s">
        <v>72</v>
      </c>
      <c r="G44" s="15" t="s">
        <v>73</v>
      </c>
      <c r="I44" s="15" t="s">
        <v>74</v>
      </c>
    </row>
    <row r="45" spans="2:9" ht="12">
      <c r="B45" s="6" t="s">
        <v>75</v>
      </c>
      <c r="D45" s="16">
        <v>1.52</v>
      </c>
      <c r="E45" s="16">
        <v>3.45</v>
      </c>
      <c r="F45" s="16">
        <v>1.87</v>
      </c>
      <c r="G45" s="16">
        <v>259</v>
      </c>
      <c r="I45" s="16">
        <f aca="true" t="shared" si="5" ref="I45:I50">E45+F45</f>
        <v>5.32</v>
      </c>
    </row>
    <row r="46" spans="2:9" ht="12">
      <c r="B46" s="6" t="s">
        <v>76</v>
      </c>
      <c r="D46" s="16">
        <v>5.2</v>
      </c>
      <c r="E46" s="16">
        <v>6.26</v>
      </c>
      <c r="F46" s="16">
        <v>6.25</v>
      </c>
      <c r="G46" s="34">
        <f>2.74*365</f>
        <v>1000.1</v>
      </c>
      <c r="I46" s="16">
        <f t="shared" si="5"/>
        <v>12.51</v>
      </c>
    </row>
    <row r="47" spans="2:9" ht="12">
      <c r="B47" s="6" t="s">
        <v>77</v>
      </c>
      <c r="D47" s="16">
        <v>9.5</v>
      </c>
      <c r="E47" s="16">
        <v>7.28</v>
      </c>
      <c r="F47" s="16">
        <v>3.98</v>
      </c>
      <c r="G47" s="34">
        <f>6.04*365</f>
        <v>2204.6</v>
      </c>
      <c r="I47" s="16">
        <f t="shared" si="5"/>
        <v>11.26</v>
      </c>
    </row>
    <row r="48" spans="2:9" ht="12">
      <c r="B48" s="6" t="s">
        <v>78</v>
      </c>
      <c r="D48" s="16">
        <v>19.2</v>
      </c>
      <c r="E48" s="16">
        <v>7.99</v>
      </c>
      <c r="F48" s="16">
        <v>3.71</v>
      </c>
      <c r="G48" s="34">
        <f>16.16*365</f>
        <v>5898.4</v>
      </c>
      <c r="I48" s="35">
        <f t="shared" si="5"/>
        <v>11.7</v>
      </c>
    </row>
    <row r="49" spans="2:9" ht="12">
      <c r="B49" s="6" t="s">
        <v>79</v>
      </c>
      <c r="D49" s="16">
        <v>30.1</v>
      </c>
      <c r="E49" s="16">
        <v>8.29</v>
      </c>
      <c r="F49" s="16">
        <v>4.59</v>
      </c>
      <c r="G49" s="34">
        <f>30.78*365</f>
        <v>11234.7</v>
      </c>
      <c r="I49" s="16">
        <f t="shared" si="5"/>
        <v>12.879999999999999</v>
      </c>
    </row>
    <row r="50" spans="2:9" ht="12">
      <c r="B50" s="6" t="s">
        <v>80</v>
      </c>
      <c r="D50" s="16">
        <v>39.44</v>
      </c>
      <c r="E50" s="16">
        <v>8.39</v>
      </c>
      <c r="F50" s="16">
        <v>3.48</v>
      </c>
      <c r="G50" s="34">
        <f>46.03*365</f>
        <v>16800.95</v>
      </c>
      <c r="I50" s="16">
        <f t="shared" si="5"/>
        <v>11.870000000000001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Pratt &amp; Whitney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Pratt &amp; Whitney</dc:creator>
  <cp:keywords/>
  <dc:description/>
  <cp:lastModifiedBy>Michael T.  Wagner</cp:lastModifiedBy>
  <cp:lastPrinted>2005-01-17T22:12:51Z</cp:lastPrinted>
  <dcterms:created xsi:type="dcterms:W3CDTF">2002-05-20T13:04:52Z</dcterms:created>
  <dcterms:modified xsi:type="dcterms:W3CDTF">2012-02-15T21:38:43Z</dcterms:modified>
  <cp:category/>
  <cp:version/>
  <cp:contentType/>
  <cp:contentStatus/>
</cp:coreProperties>
</file>